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xr:revisionPtr revIDLastSave="0" documentId="13_ncr:1_{3B31EA58-03D3-491C-A388-498E74D314C0}" xr6:coauthVersionLast="47" xr6:coauthVersionMax="47" xr10:uidLastSave="{00000000-0000-0000-0000-000000000000}"/>
  <bookViews>
    <workbookView xWindow="1837" yWindow="1837" windowWidth="21600" windowHeight="11333" xr2:uid="{00000000-000D-0000-FFFF-FFFF00000000}"/>
  </bookViews>
  <sheets>
    <sheet name="Cover" sheetId="1" r:id="rId1"/>
    <sheet name="Summary" sheetId="2" r:id="rId2"/>
    <sheet name="Inputs" sheetId="3" r:id="rId3"/>
    <sheet name="Drivers" sheetId="4" r:id="rId4"/>
    <sheet name="Rev_Build" sheetId="5" r:id="rId5"/>
    <sheet name="IS" sheetId="6" r:id="rId6"/>
    <sheet name="BS" sheetId="7" r:id="rId7"/>
    <sheet name="CF" sheetId="8" r:id="rId8"/>
    <sheet name="Schedules" sheetId="9" r:id="rId9"/>
    <sheet name="Annual" sheetId="10" r:id="rId10"/>
    <sheet name="Unit_Econ" sheetId="11" r:id="rId11"/>
    <sheet name="Bridge" sheetId="12" r:id="rId12"/>
    <sheet name="Guidance" sheetId="13" r:id="rId13"/>
    <sheet name="Backtest" sheetId="14" r:id="rId14"/>
    <sheet name="Sensitivity" sheetId="15" r:id="rId15"/>
    <sheet name="Checks" sheetId="16" r:id="rId16"/>
    <sheet name="Hist_Q" sheetId="17" r:id="rId17"/>
    <sheet name="Hist_A" sheetId="18" r:id="rId18"/>
    <sheet name="Sources" sheetId="19" r:id="rId19"/>
  </sheets>
  <definedNames>
    <definedName name="_xlnm._FilterDatabase" localSheetId="18" hidden="1">Sources!$A$4:$N$1420</definedName>
    <definedName name="BpsPerUnit">Inputs!$E$27</definedName>
    <definedName name="CheckStatus">Checks!$G$29</definedName>
    <definedName name="Drv_accr">Inputs!$H$67:$K$67</definedName>
    <definedName name="Drv_adds">Inputs!$H$31:$S$31</definedName>
    <definedName name="Drv_amort">Inputs!$H$48:$K$48</definedName>
    <definedName name="Drv_arpug">Inputs!$H$33:$S$33</definedName>
    <definedName name="Drv_buyback">Inputs!$H$58:$K$58</definedName>
    <definedName name="Drv_capex">Inputs!$H$56:$K$56</definedName>
    <definedName name="Drv_churn">Inputs!$H$32:$S$32</definedName>
    <definedName name="Drv_cpa">Inputs!$H$38:$S$38</definedName>
    <definedName name="Drv_defrev">Inputs!$H$64:$K$64</definedName>
    <definedName name="Drv_dep">Inputs!$H$57:$K$57</definedName>
    <definedName name="Drv_dio">Inputs!$H$62:$K$62</definedName>
    <definedName name="Drv_dpo">Inputs!$H$63:$K$63</definedName>
    <definedName name="Drv_dso">Inputs!$H$61:$K$61</definedName>
    <definedName name="Drv_etr">Inputs!$H$55:$K$55</definedName>
    <definedName name="Drv_fincost">Inputs!$H$36:$S$36</definedName>
    <definedName name="Drv_gag">Inputs!$H$40:$S$40</definedName>
    <definedName name="Drv_gm_sub">Inputs!$H$37:$S$37</definedName>
    <definedName name="Drv_gpvg">Inputs!$H$34:$S$34</definedName>
    <definedName name="Drv_hps_cost">Inputs!$H$46:$K$46</definedName>
    <definedName name="Drv_hps_rev">Inputs!$H$45:$K$45</definedName>
    <definedName name="Drv_hpsadd">Inputs!$H$47:$K$47</definedName>
    <definedName name="Drv_ngadd">Inputs!$H$49:$K$49</definedName>
    <definedName name="Drv_oca">Inputs!$H$65:$K$65</definedName>
    <definedName name="Drv_onca">Inputs!$H$66:$K$66</definedName>
    <definedName name="Drv_otheradj">Inputs!$H$51:$K$51</definedName>
    <definedName name="Drv_othfin">Inputs!$H$60:$K$60</definedName>
    <definedName name="Drv_othinc">Inputs!$H$53:$K$53</definedName>
    <definedName name="Drv_rdg">Inputs!$H$39:$S$39</definedName>
    <definedName name="Drv_restr">Inputs!$H$52:$K$52</definedName>
    <definedName name="Drv_sbc">Inputs!$H$50:$K$50</definedName>
    <definedName name="Drv_secbuy">Inputs!$H$59:$K$59</definedName>
    <definedName name="Drv_svc">Inputs!$H$44:$K$44</definedName>
    <definedName name="Drv_take">Inputs!$H$35:$S$35</definedName>
    <definedName name="Drv_yield">Inputs!$H$54:$K$54</definedName>
    <definedName name="FirstForecastYear">Inputs!$E$8</definedName>
    <definedName name="FirstPeriodEnd">Inputs!$E$6</definedName>
    <definedName name="ForecastYears">Inputs!$E$9</definedName>
    <definedName name="FXEffect">Inputs!$E$14</definedName>
    <definedName name="LastActualEnd">Inputs!$E$7</definedName>
    <definedName name="Mn">Inputs!$E$24</definedName>
    <definedName name="MnPerBn">Inputs!$E$26</definedName>
    <definedName name="MonthsPerQuarter">Inputs!$E$22</definedName>
    <definedName name="PaybackYears">Inputs!$E$12</definedName>
    <definedName name="QuartersPerYear">Inputs!$E$23</definedName>
    <definedName name="Scenario">Inputs!$E$5</definedName>
    <definedName name="ScenarioActive">Inputs!$E$19</definedName>
    <definedName name="ScenarioName">Inputs!$E$18</definedName>
    <definedName name="ScenarioOverride">Sensitivity!$E$5</definedName>
    <definedName name="SeasFrom">Inputs!$E$10</definedName>
    <definedName name="SeasTo">Inputs!$E$11</definedName>
    <definedName name="Sens_FinCostBps">Sensitivity!$E$9</definedName>
    <definedName name="Sens_GPVg">Sensitivity!$E$8</definedName>
    <definedName name="Sens_NetAdds">Sensitivity!$E$6</definedName>
    <definedName name="Sens_TakeBps">Sensitivity!$E$7</definedName>
    <definedName name="SMWhatIf">Inputs!$E$13</definedName>
    <definedName name="Src_Key">Sources!$A$5:$A$1420</definedName>
    <definedName name="Src_PK">Sources!$C$5:$C$1420</definedName>
    <definedName name="Src_Val">Sources!$F$5:$F$1420</definedName>
    <definedName name="Thousand">Inputs!$E$25</definedName>
    <definedName name="TolExact">Inputs!$E$15</definedName>
    <definedName name="TolRecon">Inputs!$E$17</definedName>
    <definedName name="TolRounding">Inputs!$E$16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4" i="18" l="1"/>
  <c r="E6" i="18" s="1"/>
  <c r="F27" i="16"/>
  <c r="F26" i="16"/>
  <c r="F25" i="16"/>
  <c r="F24" i="16"/>
  <c r="F23" i="16"/>
  <c r="F22" i="16"/>
  <c r="E22" i="16"/>
  <c r="F21" i="16"/>
  <c r="E21" i="16"/>
  <c r="F20" i="16"/>
  <c r="F19" i="16"/>
  <c r="F18" i="16"/>
  <c r="F17" i="16"/>
  <c r="F16" i="16"/>
  <c r="F15" i="16"/>
  <c r="F14" i="16"/>
  <c r="F13" i="16"/>
  <c r="F12" i="16"/>
  <c r="F11" i="16"/>
  <c r="F10" i="16"/>
  <c r="F9" i="16"/>
  <c r="F8" i="16"/>
  <c r="F7" i="16"/>
  <c r="F6" i="16"/>
  <c r="F5" i="16"/>
  <c r="E96" i="14"/>
  <c r="E71" i="14"/>
  <c r="E70" i="14"/>
  <c r="E55" i="13"/>
  <c r="E54" i="13"/>
  <c r="E53" i="13"/>
  <c r="E52" i="13"/>
  <c r="F48" i="13"/>
  <c r="E48" i="13"/>
  <c r="F47" i="13"/>
  <c r="E47" i="13"/>
  <c r="F46" i="13"/>
  <c r="E46" i="13"/>
  <c r="F45" i="13"/>
  <c r="E45" i="13"/>
  <c r="F41" i="13"/>
  <c r="E41" i="13"/>
  <c r="F40" i="13"/>
  <c r="E40" i="13"/>
  <c r="F39" i="13"/>
  <c r="E39" i="13"/>
  <c r="F38" i="13"/>
  <c r="E38" i="13"/>
  <c r="F37" i="13"/>
  <c r="E37" i="13"/>
  <c r="F36" i="13"/>
  <c r="E36" i="13"/>
  <c r="F35" i="13"/>
  <c r="E35" i="13"/>
  <c r="F34" i="13"/>
  <c r="E34" i="13"/>
  <c r="G34" i="13" s="1"/>
  <c r="F33" i="13"/>
  <c r="E33" i="13"/>
  <c r="F32" i="13"/>
  <c r="E32" i="13"/>
  <c r="F31" i="13"/>
  <c r="E31" i="13"/>
  <c r="F30" i="13"/>
  <c r="E30" i="13"/>
  <c r="F29" i="13"/>
  <c r="E29" i="13"/>
  <c r="F25" i="13"/>
  <c r="E25" i="13"/>
  <c r="F24" i="13"/>
  <c r="E24" i="13"/>
  <c r="F23" i="13"/>
  <c r="E23" i="13"/>
  <c r="F22" i="13"/>
  <c r="E22" i="13"/>
  <c r="F21" i="13"/>
  <c r="E21" i="13"/>
  <c r="F20" i="13"/>
  <c r="E20" i="13"/>
  <c r="F19" i="13"/>
  <c r="E19" i="13"/>
  <c r="G19" i="13" s="1"/>
  <c r="F18" i="13"/>
  <c r="E18" i="13"/>
  <c r="F17" i="13"/>
  <c r="E17" i="13"/>
  <c r="F16" i="13"/>
  <c r="E16" i="13"/>
  <c r="F15" i="13"/>
  <c r="E15" i="13"/>
  <c r="G15" i="13" s="1"/>
  <c r="F9" i="13"/>
  <c r="E9" i="13"/>
  <c r="F8" i="13"/>
  <c r="E8" i="13"/>
  <c r="F7" i="13"/>
  <c r="E7" i="13"/>
  <c r="F6" i="13"/>
  <c r="E6" i="13"/>
  <c r="E6" i="10"/>
  <c r="F6" i="10" s="1"/>
  <c r="G6" i="10" s="1"/>
  <c r="AK23" i="8"/>
  <c r="AJ23" i="8"/>
  <c r="AI23" i="8"/>
  <c r="AH23" i="8"/>
  <c r="AG23" i="8"/>
  <c r="AF23" i="8"/>
  <c r="AE23" i="8"/>
  <c r="AD23" i="8"/>
  <c r="AC23" i="8"/>
  <c r="AB23" i="8"/>
  <c r="AA23" i="8"/>
  <c r="Z23" i="8"/>
  <c r="Y23" i="8"/>
  <c r="X23" i="8"/>
  <c r="E8" i="4"/>
  <c r="E19" i="3"/>
  <c r="E18" i="3" s="1"/>
  <c r="I28" i="2"/>
  <c r="H28" i="2"/>
  <c r="G28" i="2"/>
  <c r="F28" i="2"/>
  <c r="E28" i="2"/>
  <c r="D28" i="2"/>
  <c r="I27" i="2"/>
  <c r="H27" i="2"/>
  <c r="G27" i="2"/>
  <c r="F27" i="2"/>
  <c r="E27" i="2"/>
  <c r="D27" i="2"/>
  <c r="I26" i="2"/>
  <c r="H26" i="2"/>
  <c r="G26" i="2"/>
  <c r="F26" i="2"/>
  <c r="E26" i="2"/>
  <c r="D26" i="2"/>
  <c r="D10" i="2"/>
  <c r="G7" i="13" l="1"/>
  <c r="G18" i="13"/>
  <c r="G37" i="13"/>
  <c r="G21" i="16"/>
  <c r="G16" i="13"/>
  <c r="G33" i="13"/>
  <c r="G39" i="13"/>
  <c r="G31" i="13"/>
  <c r="G6" i="13"/>
  <c r="G30" i="13"/>
  <c r="G36" i="13"/>
  <c r="G23" i="13"/>
  <c r="G25" i="13"/>
  <c r="G40" i="13"/>
  <c r="G20" i="13"/>
  <c r="G21" i="13"/>
  <c r="G35" i="13"/>
  <c r="G38" i="13"/>
  <c r="G32" i="13"/>
  <c r="E5" i="10"/>
  <c r="E4" i="10" s="1"/>
  <c r="G41" i="13"/>
  <c r="G22" i="16"/>
  <c r="G8" i="13"/>
  <c r="G9" i="13"/>
  <c r="G17" i="13"/>
  <c r="G22" i="13"/>
  <c r="E8" i="17"/>
  <c r="E14" i="17" s="1"/>
  <c r="E8" i="8"/>
  <c r="E8" i="9"/>
  <c r="E8" i="6"/>
  <c r="E9" i="4"/>
  <c r="E10" i="9" s="1"/>
  <c r="E8" i="7"/>
  <c r="F8" i="4"/>
  <c r="E6" i="4"/>
  <c r="E5" i="4"/>
  <c r="E8" i="5"/>
  <c r="E7" i="4"/>
  <c r="H6" i="10"/>
  <c r="G5" i="10"/>
  <c r="G4" i="10" s="1"/>
  <c r="F5" i="10"/>
  <c r="F4" i="10" s="1"/>
  <c r="G29" i="13"/>
  <c r="G24" i="13"/>
  <c r="E53" i="18"/>
  <c r="E37" i="18"/>
  <c r="E42" i="18"/>
  <c r="E47" i="18"/>
  <c r="E52" i="18"/>
  <c r="E41" i="18"/>
  <c r="E46" i="18"/>
  <c r="E51" i="18"/>
  <c r="E56" i="18"/>
  <c r="E40" i="18"/>
  <c r="E45" i="18"/>
  <c r="E50" i="18"/>
  <c r="E55" i="18"/>
  <c r="E88" i="10" s="1"/>
  <c r="E39" i="18"/>
  <c r="E83" i="10" s="1"/>
  <c r="E44" i="18"/>
  <c r="E49" i="18"/>
  <c r="E85" i="10" s="1"/>
  <c r="E54" i="18"/>
  <c r="E87" i="10" s="1"/>
  <c r="E38" i="18"/>
  <c r="E82" i="10" s="1"/>
  <c r="E43" i="18"/>
  <c r="E48" i="18"/>
  <c r="F4" i="18"/>
  <c r="E5" i="18"/>
  <c r="E62" i="18" l="1"/>
  <c r="E84" i="10"/>
  <c r="E61" i="18"/>
  <c r="E19" i="18"/>
  <c r="E41" i="10" s="1"/>
  <c r="E24" i="18"/>
  <c r="E30" i="18"/>
  <c r="E64" i="10" s="1"/>
  <c r="E13" i="18"/>
  <c r="E35" i="18"/>
  <c r="E18" i="18"/>
  <c r="E40" i="10" s="1"/>
  <c r="E23" i="18"/>
  <c r="E58" i="10" s="1"/>
  <c r="E29" i="18"/>
  <c r="E55" i="10" s="1"/>
  <c r="E12" i="18"/>
  <c r="E34" i="18"/>
  <c r="E17" i="18"/>
  <c r="E39" i="10" s="1"/>
  <c r="E22" i="18"/>
  <c r="E53" i="10" s="1"/>
  <c r="E28" i="18"/>
  <c r="E56" i="10" s="1"/>
  <c r="E11" i="18"/>
  <c r="E33" i="18"/>
  <c r="E68" i="10" s="1"/>
  <c r="E16" i="18"/>
  <c r="E35" i="10" s="1"/>
  <c r="E21" i="18"/>
  <c r="E43" i="10" s="1"/>
  <c r="E26" i="18"/>
  <c r="E54" i="10" s="1"/>
  <c r="E10" i="18"/>
  <c r="E32" i="18"/>
  <c r="E15" i="18"/>
  <c r="E20" i="18"/>
  <c r="E42" i="10" s="1"/>
  <c r="E25" i="18"/>
  <c r="E60" i="10" s="1"/>
  <c r="E9" i="18"/>
  <c r="E31" i="18"/>
  <c r="E65" i="10" s="1"/>
  <c r="E14" i="18"/>
  <c r="E34" i="10" s="1"/>
  <c r="H18" i="10"/>
  <c r="I6" i="10"/>
  <c r="H5" i="10"/>
  <c r="H4" i="10" s="1"/>
  <c r="F6" i="18"/>
  <c r="F5" i="18"/>
  <c r="G4" i="18"/>
  <c r="E5" i="17"/>
  <c r="E5" i="8"/>
  <c r="E5" i="9"/>
  <c r="E5" i="7"/>
  <c r="E5" i="6"/>
  <c r="E10" i="4"/>
  <c r="E11" i="4" s="1"/>
  <c r="E5" i="5"/>
  <c r="E63" i="18"/>
  <c r="E64" i="18"/>
  <c r="E86" i="10"/>
  <c r="E89" i="10" s="1"/>
  <c r="E7" i="17"/>
  <c r="E7" i="8"/>
  <c r="E7" i="7"/>
  <c r="E7" i="5"/>
  <c r="E4" i="4"/>
  <c r="E7" i="6"/>
  <c r="E7" i="9"/>
  <c r="E6" i="17"/>
  <c r="E6" i="9"/>
  <c r="E6" i="8"/>
  <c r="E6" i="7"/>
  <c r="E6" i="5"/>
  <c r="E6" i="6"/>
  <c r="F8" i="17"/>
  <c r="F14" i="17" s="1"/>
  <c r="F8" i="8"/>
  <c r="F8" i="9"/>
  <c r="F8" i="6"/>
  <c r="F9" i="4"/>
  <c r="F10" i="9" s="1"/>
  <c r="G8" i="4"/>
  <c r="F6" i="4"/>
  <c r="F8" i="5"/>
  <c r="F5" i="4"/>
  <c r="F7" i="4"/>
  <c r="F8" i="7"/>
  <c r="E52" i="17"/>
  <c r="E13" i="7" s="1"/>
  <c r="E18" i="9" s="1"/>
  <c r="E57" i="17"/>
  <c r="E62" i="17"/>
  <c r="E24" i="7" s="1"/>
  <c r="E24" i="9" s="1"/>
  <c r="E67" i="17"/>
  <c r="E73" i="17"/>
  <c r="E10" i="5" s="1"/>
  <c r="E50" i="17"/>
  <c r="E11" i="7" s="1"/>
  <c r="E47" i="9" s="1"/>
  <c r="F45" i="9" s="1"/>
  <c r="E55" i="17"/>
  <c r="E17" i="7" s="1"/>
  <c r="E37" i="9" s="1"/>
  <c r="F34" i="9" s="1"/>
  <c r="E60" i="17"/>
  <c r="E65" i="17"/>
  <c r="E48" i="17"/>
  <c r="E58" i="17"/>
  <c r="E19" i="7" s="1"/>
  <c r="E63" i="17"/>
  <c r="E74" i="17"/>
  <c r="E64" i="5" s="1"/>
  <c r="E51" i="17"/>
  <c r="E12" i="7" s="1"/>
  <c r="E16" i="9" s="1"/>
  <c r="E56" i="17"/>
  <c r="E61" i="17"/>
  <c r="E23" i="7" s="1"/>
  <c r="E66" i="17"/>
  <c r="E29" i="7" s="1"/>
  <c r="E56" i="9" s="1"/>
  <c r="F51" i="9" s="1"/>
  <c r="E49" i="17"/>
  <c r="E10" i="7" s="1"/>
  <c r="E54" i="17"/>
  <c r="E59" i="17"/>
  <c r="E64" i="17"/>
  <c r="E53" i="17"/>
  <c r="E14" i="7" s="1"/>
  <c r="E69" i="17" l="1"/>
  <c r="E20" i="7" s="1"/>
  <c r="E28" i="9" s="1"/>
  <c r="E18" i="7"/>
  <c r="E42" i="9" s="1"/>
  <c r="F40" i="9" s="1"/>
  <c r="E70" i="17"/>
  <c r="E25" i="7" s="1"/>
  <c r="E26" i="9" s="1"/>
  <c r="E4" i="11"/>
  <c r="D4" i="2"/>
  <c r="D75" i="2"/>
  <c r="I5" i="10"/>
  <c r="I4" i="10" s="1"/>
  <c r="I18" i="10"/>
  <c r="J6" i="10"/>
  <c r="E59" i="18"/>
  <c r="E4" i="17"/>
  <c r="E4" i="9"/>
  <c r="E4" i="8"/>
  <c r="E4" i="5"/>
  <c r="E4" i="7"/>
  <c r="E4" i="6"/>
  <c r="E28" i="10"/>
  <c r="E23" i="10"/>
  <c r="E28" i="8"/>
  <c r="E58" i="18"/>
  <c r="E26" i="10"/>
  <c r="G8" i="17"/>
  <c r="G14" i="17" s="1"/>
  <c r="G8" i="8"/>
  <c r="G8" i="9"/>
  <c r="G8" i="6"/>
  <c r="G8" i="7"/>
  <c r="G5" i="4"/>
  <c r="G9" i="4"/>
  <c r="G10" i="9" s="1"/>
  <c r="G8" i="5"/>
  <c r="G6" i="4"/>
  <c r="G7" i="4"/>
  <c r="H8" i="4"/>
  <c r="E29" i="8"/>
  <c r="F48" i="9"/>
  <c r="E11" i="17"/>
  <c r="E9" i="17"/>
  <c r="E10" i="17"/>
  <c r="F7" i="17"/>
  <c r="F7" i="8"/>
  <c r="F7" i="7"/>
  <c r="F4" i="4"/>
  <c r="F7" i="6"/>
  <c r="F7" i="5"/>
  <c r="F7" i="9"/>
  <c r="F5" i="17"/>
  <c r="F5" i="8"/>
  <c r="F5" i="9"/>
  <c r="F5" i="7"/>
  <c r="F5" i="6"/>
  <c r="F10" i="4"/>
  <c r="F11" i="4" s="1"/>
  <c r="F5" i="5"/>
  <c r="F52" i="17"/>
  <c r="F13" i="7" s="1"/>
  <c r="F18" i="9" s="1"/>
  <c r="F31" i="9" s="1"/>
  <c r="F57" i="17"/>
  <c r="F62" i="17"/>
  <c r="F24" i="7" s="1"/>
  <c r="F24" i="9" s="1"/>
  <c r="F67" i="17"/>
  <c r="F73" i="17"/>
  <c r="F10" i="5" s="1"/>
  <c r="F12" i="5" s="1"/>
  <c r="F50" i="17"/>
  <c r="F11" i="7" s="1"/>
  <c r="F47" i="9" s="1"/>
  <c r="G45" i="9" s="1"/>
  <c r="F55" i="17"/>
  <c r="F17" i="7" s="1"/>
  <c r="F37" i="9" s="1"/>
  <c r="F60" i="17"/>
  <c r="F33" i="7" s="1"/>
  <c r="F65" i="17"/>
  <c r="F48" i="17"/>
  <c r="F28" i="8" s="1"/>
  <c r="F53" i="17"/>
  <c r="F14" i="7" s="1"/>
  <c r="F63" i="17"/>
  <c r="F74" i="17"/>
  <c r="F64" i="5" s="1"/>
  <c r="F51" i="17"/>
  <c r="F12" i="7" s="1"/>
  <c r="F16" i="9" s="1"/>
  <c r="F56" i="17"/>
  <c r="F61" i="17"/>
  <c r="F23" i="7" s="1"/>
  <c r="F66" i="17"/>
  <c r="F29" i="7" s="1"/>
  <c r="F56" i="9" s="1"/>
  <c r="F49" i="17"/>
  <c r="F10" i="7" s="1"/>
  <c r="F54" i="17"/>
  <c r="F59" i="17"/>
  <c r="F64" i="17"/>
  <c r="F58" i="17"/>
  <c r="F19" i="7" s="1"/>
  <c r="E66" i="10"/>
  <c r="E33" i="7"/>
  <c r="E29" i="10"/>
  <c r="E24" i="10"/>
  <c r="F6" i="17"/>
  <c r="F6" i="8"/>
  <c r="F6" i="7"/>
  <c r="F6" i="9"/>
  <c r="F6" i="6"/>
  <c r="F6" i="5"/>
  <c r="F19" i="18"/>
  <c r="F41" i="10" s="1"/>
  <c r="F24" i="18"/>
  <c r="F30" i="18"/>
  <c r="F64" i="10" s="1"/>
  <c r="F13" i="18"/>
  <c r="F35" i="18"/>
  <c r="F18" i="18"/>
  <c r="F40" i="10" s="1"/>
  <c r="F23" i="18"/>
  <c r="F58" i="10" s="1"/>
  <c r="F29" i="18"/>
  <c r="F55" i="10" s="1"/>
  <c r="F12" i="18"/>
  <c r="F34" i="18"/>
  <c r="F17" i="18"/>
  <c r="F39" i="10" s="1"/>
  <c r="F22" i="18"/>
  <c r="F53" i="10" s="1"/>
  <c r="F28" i="18"/>
  <c r="F56" i="10" s="1"/>
  <c r="F11" i="18"/>
  <c r="F33" i="18"/>
  <c r="F68" i="10" s="1"/>
  <c r="F16" i="18"/>
  <c r="F35" i="10" s="1"/>
  <c r="F21" i="18"/>
  <c r="F43" i="10" s="1"/>
  <c r="F26" i="18"/>
  <c r="F54" i="10" s="1"/>
  <c r="F10" i="18"/>
  <c r="F32" i="18"/>
  <c r="F15" i="18"/>
  <c r="F20" i="18"/>
  <c r="F42" i="10" s="1"/>
  <c r="F25" i="18"/>
  <c r="F60" i="10" s="1"/>
  <c r="F9" i="18"/>
  <c r="F31" i="18"/>
  <c r="F65" i="10" s="1"/>
  <c r="F14" i="18"/>
  <c r="F34" i="10" s="1"/>
  <c r="E68" i="17"/>
  <c r="E15" i="7" s="1"/>
  <c r="E20" i="9" s="1"/>
  <c r="E22" i="9"/>
  <c r="E26" i="7"/>
  <c r="E12" i="17"/>
  <c r="E13" i="17"/>
  <c r="E60" i="18"/>
  <c r="E59" i="10" s="1"/>
  <c r="F53" i="18"/>
  <c r="F37" i="18"/>
  <c r="F42" i="18"/>
  <c r="F47" i="18"/>
  <c r="F52" i="18"/>
  <c r="F41" i="18"/>
  <c r="F46" i="18"/>
  <c r="F51" i="18"/>
  <c r="F56" i="18"/>
  <c r="F40" i="18"/>
  <c r="F45" i="18"/>
  <c r="F50" i="18"/>
  <c r="F55" i="18"/>
  <c r="F39" i="18"/>
  <c r="F44" i="18"/>
  <c r="F49" i="18"/>
  <c r="F54" i="18"/>
  <c r="F38" i="18"/>
  <c r="F43" i="18"/>
  <c r="F48" i="18"/>
  <c r="G6" i="18"/>
  <c r="G5" i="18"/>
  <c r="H4" i="18"/>
  <c r="E71" i="17"/>
  <c r="E27" i="7" s="1"/>
  <c r="E35" i="7"/>
  <c r="F18" i="7" l="1"/>
  <c r="F42" i="9" s="1"/>
  <c r="G40" i="9" s="1"/>
  <c r="E17" i="17"/>
  <c r="E17" i="5" s="1"/>
  <c r="E14" i="9" s="1"/>
  <c r="E23" i="9" s="1"/>
  <c r="E19" i="17"/>
  <c r="E30" i="17"/>
  <c r="E18" i="17"/>
  <c r="E27" i="5" s="1"/>
  <c r="E25" i="17"/>
  <c r="E23" i="6" s="1"/>
  <c r="E32" i="17"/>
  <c r="E33" i="17"/>
  <c r="E34" i="6" s="1"/>
  <c r="E28" i="17"/>
  <c r="E26" i="6" s="1"/>
  <c r="E23" i="17"/>
  <c r="E29" i="9"/>
  <c r="E30" i="9" s="1"/>
  <c r="F64" i="18"/>
  <c r="E20" i="17"/>
  <c r="E41" i="5" s="1"/>
  <c r="E42" i="5" s="1"/>
  <c r="F39" i="6"/>
  <c r="E57" i="13"/>
  <c r="F4" i="11"/>
  <c r="E75" i="2"/>
  <c r="E4" i="2"/>
  <c r="F28" i="10"/>
  <c r="F23" i="10"/>
  <c r="F59" i="18"/>
  <c r="E75" i="17"/>
  <c r="E23" i="5" s="1"/>
  <c r="E24" i="5" s="1"/>
  <c r="E25" i="5" s="1"/>
  <c r="E80" i="17"/>
  <c r="E85" i="17"/>
  <c r="E78" i="17"/>
  <c r="E83" i="17"/>
  <c r="E42" i="6" s="1"/>
  <c r="E76" i="17"/>
  <c r="E81" i="17"/>
  <c r="E38" i="6" s="1"/>
  <c r="E79" i="17"/>
  <c r="E84" i="17"/>
  <c r="E77" i="17"/>
  <c r="E33" i="8" s="1"/>
  <c r="E82" i="17"/>
  <c r="E41" i="6" s="1"/>
  <c r="F63" i="18"/>
  <c r="H8" i="17"/>
  <c r="H14" i="17" s="1"/>
  <c r="H8" i="9"/>
  <c r="H8" i="5"/>
  <c r="H8" i="8"/>
  <c r="H8" i="7"/>
  <c r="H5" i="4"/>
  <c r="H9" i="4"/>
  <c r="H10" i="9" s="1"/>
  <c r="H6" i="4"/>
  <c r="H8" i="6"/>
  <c r="H7" i="4"/>
  <c r="I8" i="4"/>
  <c r="F29" i="10"/>
  <c r="F24" i="10"/>
  <c r="H6" i="18"/>
  <c r="H5" i="18"/>
  <c r="I4" i="18"/>
  <c r="E28" i="7"/>
  <c r="E30" i="10"/>
  <c r="E25" i="10"/>
  <c r="F4" i="17"/>
  <c r="F4" i="8"/>
  <c r="F4" i="9"/>
  <c r="F4" i="5"/>
  <c r="F4" i="7"/>
  <c r="F4" i="6"/>
  <c r="F58" i="18"/>
  <c r="F26" i="10"/>
  <c r="F27" i="10" s="1"/>
  <c r="E41" i="17"/>
  <c r="E46" i="17"/>
  <c r="E23" i="8" s="1"/>
  <c r="E39" i="17"/>
  <c r="E44" i="17"/>
  <c r="E42" i="17"/>
  <c r="E40" i="17"/>
  <c r="E51" i="6" s="1"/>
  <c r="E45" i="17"/>
  <c r="E43" i="17"/>
  <c r="E33" i="10"/>
  <c r="E16" i="7"/>
  <c r="E21" i="7" s="1"/>
  <c r="F68" i="17"/>
  <c r="F15" i="7" s="1"/>
  <c r="F20" i="9" s="1"/>
  <c r="E34" i="17"/>
  <c r="F29" i="8"/>
  <c r="G48" i="9"/>
  <c r="G5" i="17"/>
  <c r="G5" i="9"/>
  <c r="G5" i="8"/>
  <c r="G5" i="7"/>
  <c r="G5" i="6"/>
  <c r="G10" i="4"/>
  <c r="G11" i="4" s="1"/>
  <c r="G5" i="5"/>
  <c r="F70" i="17"/>
  <c r="F25" i="7" s="1"/>
  <c r="F26" i="9" s="1"/>
  <c r="G34" i="9"/>
  <c r="E29" i="17"/>
  <c r="K6" i="10"/>
  <c r="J5" i="10"/>
  <c r="J4" i="10" s="1"/>
  <c r="J18" i="10"/>
  <c r="F71" i="17"/>
  <c r="F27" i="7" s="1"/>
  <c r="F35" i="7"/>
  <c r="G24" i="18"/>
  <c r="G30" i="18"/>
  <c r="G13" i="18"/>
  <c r="G35" i="18"/>
  <c r="G18" i="18"/>
  <c r="G23" i="18"/>
  <c r="G29" i="18"/>
  <c r="G12" i="18"/>
  <c r="G34" i="18"/>
  <c r="G17" i="18"/>
  <c r="G22" i="18"/>
  <c r="G28" i="18"/>
  <c r="G11" i="18"/>
  <c r="G33" i="18"/>
  <c r="G16" i="18"/>
  <c r="G21" i="18"/>
  <c r="G26" i="18"/>
  <c r="G10" i="18"/>
  <c r="G32" i="18"/>
  <c r="G15" i="18"/>
  <c r="G20" i="18"/>
  <c r="G25" i="18"/>
  <c r="G9" i="18"/>
  <c r="G31" i="18"/>
  <c r="G14" i="18"/>
  <c r="G19" i="18"/>
  <c r="F22" i="9"/>
  <c r="F62" i="18"/>
  <c r="F66" i="10"/>
  <c r="E24" i="17"/>
  <c r="F12" i="17"/>
  <c r="F13" i="17"/>
  <c r="G7" i="17"/>
  <c r="G7" i="8"/>
  <c r="G4" i="4"/>
  <c r="G7" i="5"/>
  <c r="G7" i="6"/>
  <c r="G7" i="7"/>
  <c r="G7" i="9"/>
  <c r="E22" i="17"/>
  <c r="E55" i="5" s="1"/>
  <c r="F61" i="18"/>
  <c r="F60" i="18"/>
  <c r="F59" i="10" s="1"/>
  <c r="F11" i="5"/>
  <c r="E31" i="17"/>
  <c r="E31" i="6" s="1"/>
  <c r="E11" i="6"/>
  <c r="F69" i="17"/>
  <c r="F20" i="7" s="1"/>
  <c r="F28" i="9" s="1"/>
  <c r="F11" i="17"/>
  <c r="F9" i="17"/>
  <c r="F31" i="17" s="1"/>
  <c r="F31" i="6" s="1"/>
  <c r="F10" i="17"/>
  <c r="G42" i="18"/>
  <c r="G47" i="18"/>
  <c r="G52" i="18"/>
  <c r="G41" i="18"/>
  <c r="G46" i="18"/>
  <c r="G51" i="18"/>
  <c r="G56" i="18"/>
  <c r="G40" i="18"/>
  <c r="G45" i="18"/>
  <c r="G50" i="18"/>
  <c r="G55" i="18"/>
  <c r="G39" i="18"/>
  <c r="G44" i="18"/>
  <c r="G49" i="18"/>
  <c r="G54" i="18"/>
  <c r="G38" i="18"/>
  <c r="G43" i="18"/>
  <c r="G48" i="18"/>
  <c r="G53" i="18"/>
  <c r="G37" i="18"/>
  <c r="E27" i="17"/>
  <c r="E25" i="6" s="1"/>
  <c r="E26" i="17"/>
  <c r="E24" i="6" s="1"/>
  <c r="E32" i="10"/>
  <c r="E36" i="10"/>
  <c r="E44" i="10" s="1"/>
  <c r="G6" i="17"/>
  <c r="G6" i="8"/>
  <c r="G6" i="7"/>
  <c r="G6" i="9"/>
  <c r="G6" i="6"/>
  <c r="G6" i="5"/>
  <c r="G51" i="9"/>
  <c r="G52" i="17"/>
  <c r="G13" i="7" s="1"/>
  <c r="G18" i="9" s="1"/>
  <c r="G57" i="17"/>
  <c r="G62" i="17"/>
  <c r="G24" i="7" s="1"/>
  <c r="G24" i="9" s="1"/>
  <c r="G67" i="17"/>
  <c r="G73" i="17"/>
  <c r="G10" i="5" s="1"/>
  <c r="G12" i="5" s="1"/>
  <c r="G39" i="6" s="1"/>
  <c r="G50" i="17"/>
  <c r="G11" i="7" s="1"/>
  <c r="G47" i="9" s="1"/>
  <c r="H45" i="9" s="1"/>
  <c r="G55" i="17"/>
  <c r="G17" i="7" s="1"/>
  <c r="G37" i="9" s="1"/>
  <c r="G60" i="17"/>
  <c r="G65" i="17"/>
  <c r="G48" i="17"/>
  <c r="G28" i="8" s="1"/>
  <c r="G53" i="17"/>
  <c r="G14" i="7" s="1"/>
  <c r="G58" i="17"/>
  <c r="G19" i="7" s="1"/>
  <c r="G74" i="17"/>
  <c r="G64" i="5" s="1"/>
  <c r="G51" i="17"/>
  <c r="G12" i="7" s="1"/>
  <c r="G16" i="9" s="1"/>
  <c r="G56" i="17"/>
  <c r="G61" i="17"/>
  <c r="G23" i="7" s="1"/>
  <c r="G66" i="17"/>
  <c r="G29" i="7" s="1"/>
  <c r="G56" i="9" s="1"/>
  <c r="G49" i="17"/>
  <c r="G10" i="7" s="1"/>
  <c r="G54" i="17"/>
  <c r="G59" i="17"/>
  <c r="G64" i="17"/>
  <c r="G63" i="17"/>
  <c r="E21" i="17"/>
  <c r="E43" i="5" s="1"/>
  <c r="E45" i="5" s="1"/>
  <c r="F21" i="17" l="1"/>
  <c r="F43" i="5" s="1"/>
  <c r="F16" i="6" s="1"/>
  <c r="E35" i="17"/>
  <c r="E34" i="5" s="1"/>
  <c r="E36" i="5" s="1"/>
  <c r="E38" i="5" s="1"/>
  <c r="F22" i="17"/>
  <c r="F55" i="5" s="1"/>
  <c r="F18" i="6" s="1"/>
  <c r="F17" i="17"/>
  <c r="F17" i="5" s="1"/>
  <c r="F14" i="9" s="1"/>
  <c r="F23" i="9" s="1"/>
  <c r="F34" i="17"/>
  <c r="F29" i="17"/>
  <c r="E10" i="6"/>
  <c r="F26" i="17"/>
  <c r="F24" i="6" s="1"/>
  <c r="E46" i="5"/>
  <c r="F20" i="17"/>
  <c r="F41" i="5" s="1"/>
  <c r="F32" i="17"/>
  <c r="F27" i="17"/>
  <c r="F25" i="6" s="1"/>
  <c r="E40" i="5"/>
  <c r="F24" i="17"/>
  <c r="F30" i="17"/>
  <c r="E15" i="6"/>
  <c r="E43" i="6"/>
  <c r="E45" i="6" s="1"/>
  <c r="F29" i="9"/>
  <c r="F30" i="9" s="1"/>
  <c r="G70" i="17"/>
  <c r="G25" i="7" s="1"/>
  <c r="G26" i="9" s="1"/>
  <c r="E27" i="6"/>
  <c r="F19" i="17"/>
  <c r="G60" i="18"/>
  <c r="F16" i="7"/>
  <c r="F21" i="7" s="1"/>
  <c r="F34" i="7" s="1"/>
  <c r="F32" i="9"/>
  <c r="E4" i="12"/>
  <c r="F57" i="13"/>
  <c r="G4" i="11"/>
  <c r="F4" i="2"/>
  <c r="F75" i="2"/>
  <c r="F49" i="9"/>
  <c r="E54" i="9"/>
  <c r="E20" i="8"/>
  <c r="G71" i="17"/>
  <c r="G27" i="7" s="1"/>
  <c r="G35" i="7"/>
  <c r="G68" i="17"/>
  <c r="G15" i="7" s="1"/>
  <c r="G20" i="9" s="1"/>
  <c r="F26" i="7"/>
  <c r="F28" i="7" s="1"/>
  <c r="G69" i="17"/>
  <c r="G20" i="7" s="1"/>
  <c r="G28" i="9" s="1"/>
  <c r="G12" i="17"/>
  <c r="G13" i="17"/>
  <c r="E37" i="17"/>
  <c r="E32" i="6" s="1"/>
  <c r="E50" i="6"/>
  <c r="E11" i="8" s="1"/>
  <c r="H48" i="9"/>
  <c r="G29" i="8"/>
  <c r="H51" i="9"/>
  <c r="G22" i="9"/>
  <c r="F25" i="17"/>
  <c r="F23" i="6" s="1"/>
  <c r="F33" i="10"/>
  <c r="H42" i="18"/>
  <c r="H47" i="18"/>
  <c r="H52" i="18"/>
  <c r="H41" i="18"/>
  <c r="H46" i="18"/>
  <c r="H51" i="18"/>
  <c r="H56" i="18"/>
  <c r="H40" i="18"/>
  <c r="H45" i="18"/>
  <c r="H50" i="18"/>
  <c r="H55" i="18"/>
  <c r="H39" i="18"/>
  <c r="H44" i="18"/>
  <c r="H49" i="18"/>
  <c r="H54" i="18"/>
  <c r="H38" i="18"/>
  <c r="H43" i="18"/>
  <c r="H48" i="18"/>
  <c r="H53" i="18"/>
  <c r="H37" i="18"/>
  <c r="H7" i="17"/>
  <c r="H7" i="9"/>
  <c r="H7" i="8"/>
  <c r="H7" i="6"/>
  <c r="H4" i="4"/>
  <c r="H7" i="5"/>
  <c r="H7" i="7"/>
  <c r="G64" i="18"/>
  <c r="E16" i="8"/>
  <c r="E35" i="9"/>
  <c r="E36" i="17"/>
  <c r="E50" i="5" s="1"/>
  <c r="H24" i="18"/>
  <c r="H30" i="18"/>
  <c r="H13" i="18"/>
  <c r="H35" i="18"/>
  <c r="H18" i="18"/>
  <c r="H23" i="18"/>
  <c r="H29" i="18"/>
  <c r="H12" i="18"/>
  <c r="H34" i="18"/>
  <c r="H17" i="18"/>
  <c r="H22" i="18"/>
  <c r="H28" i="18"/>
  <c r="H11" i="18"/>
  <c r="H33" i="18"/>
  <c r="H16" i="18"/>
  <c r="H21" i="18"/>
  <c r="H26" i="18"/>
  <c r="H10" i="18"/>
  <c r="H32" i="18"/>
  <c r="H15" i="18"/>
  <c r="H20" i="18"/>
  <c r="H25" i="18"/>
  <c r="H9" i="18"/>
  <c r="H31" i="18"/>
  <c r="H14" i="18"/>
  <c r="H19" i="18"/>
  <c r="H57" i="17"/>
  <c r="H62" i="17"/>
  <c r="H24" i="7" s="1"/>
  <c r="H24" i="9" s="1"/>
  <c r="H67" i="17"/>
  <c r="H73" i="17"/>
  <c r="H10" i="5" s="1"/>
  <c r="H50" i="17"/>
  <c r="H11" i="7" s="1"/>
  <c r="H47" i="9" s="1"/>
  <c r="I45" i="9" s="1"/>
  <c r="H55" i="17"/>
  <c r="H17" i="7" s="1"/>
  <c r="H37" i="9" s="1"/>
  <c r="H60" i="17"/>
  <c r="H33" i="7" s="1"/>
  <c r="H65" i="17"/>
  <c r="H48" i="17"/>
  <c r="H28" i="8" s="1"/>
  <c r="H53" i="17"/>
  <c r="H14" i="7" s="1"/>
  <c r="H58" i="17"/>
  <c r="H19" i="7" s="1"/>
  <c r="H63" i="17"/>
  <c r="H74" i="17"/>
  <c r="H64" i="5" s="1"/>
  <c r="H51" i="17"/>
  <c r="H12" i="7" s="1"/>
  <c r="H16" i="9" s="1"/>
  <c r="H56" i="17"/>
  <c r="H61" i="17"/>
  <c r="H23" i="7" s="1"/>
  <c r="H66" i="17"/>
  <c r="H29" i="7" s="1"/>
  <c r="H56" i="9" s="1"/>
  <c r="H49" i="17"/>
  <c r="H10" i="7" s="1"/>
  <c r="H54" i="17"/>
  <c r="H59" i="17"/>
  <c r="H64" i="17"/>
  <c r="H52" i="17"/>
  <c r="H13" i="7" s="1"/>
  <c r="H18" i="9" s="1"/>
  <c r="H31" i="9" s="1"/>
  <c r="F32" i="10"/>
  <c r="F36" i="10"/>
  <c r="F44" i="10" s="1"/>
  <c r="G18" i="7"/>
  <c r="G42" i="9" s="1"/>
  <c r="H40" i="9" s="1"/>
  <c r="G4" i="17"/>
  <c r="G4" i="9"/>
  <c r="G4" i="5"/>
  <c r="G4" i="7"/>
  <c r="G4" i="6"/>
  <c r="G4" i="8"/>
  <c r="E41" i="9"/>
  <c r="E36" i="9" s="1"/>
  <c r="E43" i="9" s="1"/>
  <c r="E18" i="6"/>
  <c r="F46" i="17"/>
  <c r="F23" i="8" s="1"/>
  <c r="F39" i="17"/>
  <c r="F44" i="17"/>
  <c r="F42" i="17"/>
  <c r="F40" i="17"/>
  <c r="F51" i="6" s="1"/>
  <c r="F45" i="17"/>
  <c r="F21" i="8" s="1"/>
  <c r="F43" i="17"/>
  <c r="F41" i="17"/>
  <c r="H6" i="17"/>
  <c r="H6" i="8"/>
  <c r="H6" i="9"/>
  <c r="H6" i="6"/>
  <c r="H6" i="7"/>
  <c r="H6" i="5"/>
  <c r="H5" i="17"/>
  <c r="H5" i="7"/>
  <c r="H5" i="8"/>
  <c r="H10" i="4"/>
  <c r="H11" i="4" s="1"/>
  <c r="H5" i="5"/>
  <c r="H5" i="9"/>
  <c r="H5" i="6"/>
  <c r="F80" i="17"/>
  <c r="F85" i="17"/>
  <c r="F78" i="17"/>
  <c r="F83" i="17"/>
  <c r="F42" i="6" s="1"/>
  <c r="F76" i="17"/>
  <c r="F81" i="17"/>
  <c r="F38" i="6" s="1"/>
  <c r="F79" i="17"/>
  <c r="F84" i="17"/>
  <c r="F77" i="17"/>
  <c r="F33" i="8" s="1"/>
  <c r="F82" i="17"/>
  <c r="F41" i="6" s="1"/>
  <c r="F75" i="17"/>
  <c r="F23" i="5" s="1"/>
  <c r="F23" i="17"/>
  <c r="G63" i="18"/>
  <c r="G59" i="18"/>
  <c r="E16" i="6"/>
  <c r="E28" i="5"/>
  <c r="E29" i="5" s="1"/>
  <c r="E44" i="5"/>
  <c r="F18" i="17"/>
  <c r="F27" i="5" s="1"/>
  <c r="G9" i="17"/>
  <c r="G18" i="17" s="1"/>
  <c r="G27" i="5" s="1"/>
  <c r="G21" i="17"/>
  <c r="G43" i="5" s="1"/>
  <c r="G26" i="17"/>
  <c r="G24" i="6" s="1"/>
  <c r="G31" i="17"/>
  <c r="G31" i="6" s="1"/>
  <c r="G49" i="9" s="1"/>
  <c r="G10" i="17"/>
  <c r="G22" i="17"/>
  <c r="G55" i="5" s="1"/>
  <c r="G27" i="17"/>
  <c r="G25" i="6" s="1"/>
  <c r="G11" i="17"/>
  <c r="E21" i="8"/>
  <c r="F15" i="6"/>
  <c r="G62" i="18"/>
  <c r="G61" i="18"/>
  <c r="F33" i="17"/>
  <c r="F34" i="6" s="1"/>
  <c r="F28" i="17"/>
  <c r="F26" i="6" s="1"/>
  <c r="E53" i="9"/>
  <c r="E12" i="8"/>
  <c r="L6" i="10"/>
  <c r="K5" i="10"/>
  <c r="K4" i="10" s="1"/>
  <c r="F30" i="10"/>
  <c r="F25" i="10"/>
  <c r="I8" i="17"/>
  <c r="I14" i="17" s="1"/>
  <c r="I8" i="5"/>
  <c r="I8" i="7"/>
  <c r="I8" i="9"/>
  <c r="I5" i="4"/>
  <c r="I9" i="4"/>
  <c r="I10" i="9" s="1"/>
  <c r="J8" i="4"/>
  <c r="I6" i="4"/>
  <c r="I8" i="8"/>
  <c r="I8" i="6"/>
  <c r="I7" i="4"/>
  <c r="G33" i="7"/>
  <c r="H12" i="5"/>
  <c r="H39" i="6" s="1"/>
  <c r="G11" i="5"/>
  <c r="G58" i="18"/>
  <c r="G31" i="9"/>
  <c r="E58" i="5"/>
  <c r="I5" i="18"/>
  <c r="J4" i="18"/>
  <c r="I6" i="18"/>
  <c r="E17" i="8"/>
  <c r="H34" i="9"/>
  <c r="E34" i="7"/>
  <c r="E36" i="7"/>
  <c r="E30" i="7"/>
  <c r="E32" i="7" s="1"/>
  <c r="E12" i="6" l="1"/>
  <c r="F28" i="5"/>
  <c r="F29" i="5" s="1"/>
  <c r="F44" i="5"/>
  <c r="E13" i="6"/>
  <c r="F40" i="5"/>
  <c r="F10" i="6"/>
  <c r="F42" i="5"/>
  <c r="F15" i="5"/>
  <c r="F37" i="17"/>
  <c r="F32" i="6" s="1"/>
  <c r="F41" i="9"/>
  <c r="F36" i="17"/>
  <c r="F50" i="5" s="1"/>
  <c r="F49" i="5" s="1"/>
  <c r="H64" i="18"/>
  <c r="E28" i="6"/>
  <c r="G25" i="17"/>
  <c r="G23" i="6" s="1"/>
  <c r="G20" i="17"/>
  <c r="G41" i="5" s="1"/>
  <c r="G16" i="7"/>
  <c r="G21" i="7" s="1"/>
  <c r="G34" i="7" s="1"/>
  <c r="H61" i="18"/>
  <c r="H62" i="18"/>
  <c r="G30" i="17"/>
  <c r="H69" i="17"/>
  <c r="H20" i="7" s="1"/>
  <c r="H28" i="9" s="1"/>
  <c r="G32" i="17"/>
  <c r="E22" i="8"/>
  <c r="E18" i="8"/>
  <c r="G26" i="7"/>
  <c r="G28" i="7" s="1"/>
  <c r="G36" i="7" s="1"/>
  <c r="G57" i="13"/>
  <c r="H4" i="11"/>
  <c r="F4" i="12"/>
  <c r="G75" i="2"/>
  <c r="G4" i="2"/>
  <c r="E11" i="9"/>
  <c r="G11" i="6"/>
  <c r="G24" i="5"/>
  <c r="G25" i="5" s="1"/>
  <c r="G45" i="5"/>
  <c r="G41" i="9"/>
  <c r="G18" i="6"/>
  <c r="H59" i="18"/>
  <c r="F27" i="6"/>
  <c r="G17" i="17"/>
  <c r="G17" i="5" s="1"/>
  <c r="G34" i="17"/>
  <c r="M6" i="10"/>
  <c r="L5" i="10"/>
  <c r="L4" i="10" s="1"/>
  <c r="G39" i="17"/>
  <c r="G44" i="17"/>
  <c r="G42" i="17"/>
  <c r="G40" i="17"/>
  <c r="G51" i="6" s="1"/>
  <c r="G45" i="17"/>
  <c r="G43" i="17"/>
  <c r="G41" i="17"/>
  <c r="G46" i="17"/>
  <c r="G23" i="8" s="1"/>
  <c r="H12" i="17"/>
  <c r="H13" i="17"/>
  <c r="G24" i="17"/>
  <c r="G19" i="17"/>
  <c r="F17" i="8"/>
  <c r="H71" i="17"/>
  <c r="H27" i="7" s="1"/>
  <c r="H35" i="7"/>
  <c r="E13" i="9"/>
  <c r="E17" i="9" s="1"/>
  <c r="E17" i="6"/>
  <c r="E19" i="6" s="1"/>
  <c r="E12" i="9" s="1"/>
  <c r="F36" i="9"/>
  <c r="F50" i="6"/>
  <c r="F35" i="17"/>
  <c r="F34" i="5" s="1"/>
  <c r="F36" i="5" s="1"/>
  <c r="F38" i="5" s="1"/>
  <c r="G33" i="17"/>
  <c r="G34" i="6" s="1"/>
  <c r="E51" i="5"/>
  <c r="E56" i="5" s="1"/>
  <c r="F24" i="5"/>
  <c r="F25" i="5" s="1"/>
  <c r="F11" i="6"/>
  <c r="F45" i="5"/>
  <c r="G16" i="6"/>
  <c r="G44" i="5"/>
  <c r="I7" i="17"/>
  <c r="I7" i="5"/>
  <c r="I7" i="9"/>
  <c r="I7" i="8"/>
  <c r="I7" i="7"/>
  <c r="I7" i="6"/>
  <c r="I4" i="4"/>
  <c r="F13" i="9"/>
  <c r="F17" i="9" s="1"/>
  <c r="H4" i="17"/>
  <c r="H4" i="8"/>
  <c r="H4" i="9"/>
  <c r="H4" i="5"/>
  <c r="H4" i="7"/>
  <c r="H4" i="6"/>
  <c r="F43" i="6"/>
  <c r="F45" i="6" s="1"/>
  <c r="F40" i="6"/>
  <c r="F54" i="9"/>
  <c r="F20" i="8"/>
  <c r="H70" i="17"/>
  <c r="H25" i="7" s="1"/>
  <c r="H26" i="9" s="1"/>
  <c r="I5" i="17"/>
  <c r="I5" i="9"/>
  <c r="I5" i="7"/>
  <c r="I5" i="8"/>
  <c r="I10" i="4"/>
  <c r="I11" i="4" s="1"/>
  <c r="I5" i="5"/>
  <c r="I5" i="6"/>
  <c r="G15" i="6"/>
  <c r="H29" i="8"/>
  <c r="I48" i="9"/>
  <c r="F19" i="5"/>
  <c r="I6" i="17"/>
  <c r="I6" i="9"/>
  <c r="I6" i="8"/>
  <c r="I6" i="6"/>
  <c r="I6" i="5"/>
  <c r="I6" i="7"/>
  <c r="G23" i="17"/>
  <c r="H60" i="18"/>
  <c r="H9" i="17"/>
  <c r="H26" i="17" s="1"/>
  <c r="H24" i="6" s="1"/>
  <c r="H10" i="17"/>
  <c r="H11" i="17"/>
  <c r="F36" i="7"/>
  <c r="F30" i="7"/>
  <c r="F32" i="7" s="1"/>
  <c r="H68" i="17"/>
  <c r="H15" i="7" s="1"/>
  <c r="H20" i="9" s="1"/>
  <c r="H58" i="18"/>
  <c r="J8" i="17"/>
  <c r="J14" i="17" s="1"/>
  <c r="J8" i="8"/>
  <c r="J8" i="5"/>
  <c r="J5" i="4"/>
  <c r="J8" i="9"/>
  <c r="J7" i="4"/>
  <c r="J9" i="4"/>
  <c r="J10" i="9" s="1"/>
  <c r="K8" i="4"/>
  <c r="J8" i="6"/>
  <c r="J6" i="4"/>
  <c r="J8" i="7"/>
  <c r="J5" i="18"/>
  <c r="J6" i="18"/>
  <c r="H11" i="5"/>
  <c r="F53" i="9"/>
  <c r="F12" i="8"/>
  <c r="G85" i="17"/>
  <c r="G78" i="17"/>
  <c r="G83" i="17"/>
  <c r="G42" i="6" s="1"/>
  <c r="G76" i="17"/>
  <c r="G81" i="17"/>
  <c r="G38" i="6" s="1"/>
  <c r="G79" i="17"/>
  <c r="G84" i="17"/>
  <c r="G77" i="17"/>
  <c r="G33" i="8" s="1"/>
  <c r="G82" i="17"/>
  <c r="G41" i="6" s="1"/>
  <c r="G75" i="17"/>
  <c r="G23" i="5" s="1"/>
  <c r="G19" i="5" s="1"/>
  <c r="G80" i="17"/>
  <c r="G28" i="17"/>
  <c r="G26" i="6" s="1"/>
  <c r="H63" i="18"/>
  <c r="I47" i="18"/>
  <c r="I52" i="18"/>
  <c r="I41" i="18"/>
  <c r="I46" i="18"/>
  <c r="I51" i="18"/>
  <c r="I56" i="18"/>
  <c r="I40" i="18"/>
  <c r="I45" i="18"/>
  <c r="I50" i="18"/>
  <c r="I55" i="18"/>
  <c r="I39" i="18"/>
  <c r="I44" i="18"/>
  <c r="I49" i="18"/>
  <c r="I54" i="18"/>
  <c r="I38" i="18"/>
  <c r="I43" i="18"/>
  <c r="I48" i="18"/>
  <c r="I53" i="18"/>
  <c r="I37" i="18"/>
  <c r="I42" i="18"/>
  <c r="F16" i="8"/>
  <c r="F35" i="9"/>
  <c r="I51" i="9"/>
  <c r="H22" i="9"/>
  <c r="I62" i="17"/>
  <c r="I24" i="7" s="1"/>
  <c r="I24" i="9" s="1"/>
  <c r="I67" i="17"/>
  <c r="I73" i="17"/>
  <c r="I10" i="5" s="1"/>
  <c r="I50" i="17"/>
  <c r="I11" i="7" s="1"/>
  <c r="I47" i="9" s="1"/>
  <c r="J45" i="9" s="1"/>
  <c r="I55" i="17"/>
  <c r="I17" i="7" s="1"/>
  <c r="I37" i="9" s="1"/>
  <c r="I60" i="17"/>
  <c r="I65" i="17"/>
  <c r="I48" i="17"/>
  <c r="I28" i="8" s="1"/>
  <c r="I53" i="17"/>
  <c r="I14" i="7" s="1"/>
  <c r="I58" i="17"/>
  <c r="I19" i="7" s="1"/>
  <c r="I63" i="17"/>
  <c r="I51" i="17"/>
  <c r="I12" i="7" s="1"/>
  <c r="I16" i="9" s="1"/>
  <c r="I56" i="17"/>
  <c r="I61" i="17"/>
  <c r="I23" i="7" s="1"/>
  <c r="I66" i="17"/>
  <c r="I29" i="7" s="1"/>
  <c r="I56" i="9" s="1"/>
  <c r="I49" i="17"/>
  <c r="I10" i="7" s="1"/>
  <c r="I54" i="17"/>
  <c r="I59" i="17"/>
  <c r="I64" i="17"/>
  <c r="I52" i="17"/>
  <c r="I13" i="7" s="1"/>
  <c r="I18" i="9" s="1"/>
  <c r="I31" i="9" s="1"/>
  <c r="I57" i="17"/>
  <c r="I74" i="17"/>
  <c r="I64" i="5" s="1"/>
  <c r="I34" i="9"/>
  <c r="I30" i="18"/>
  <c r="I13" i="18"/>
  <c r="I35" i="18"/>
  <c r="I18" i="18"/>
  <c r="I23" i="18"/>
  <c r="I29" i="18"/>
  <c r="I12" i="18"/>
  <c r="I34" i="18"/>
  <c r="I17" i="18"/>
  <c r="I22" i="18"/>
  <c r="I28" i="18"/>
  <c r="I11" i="18"/>
  <c r="I33" i="18"/>
  <c r="I16" i="18"/>
  <c r="I21" i="18"/>
  <c r="I26" i="18"/>
  <c r="I10" i="18"/>
  <c r="I32" i="18"/>
  <c r="I15" i="18"/>
  <c r="I20" i="18"/>
  <c r="I25" i="18"/>
  <c r="I9" i="18"/>
  <c r="I31" i="18"/>
  <c r="I14" i="18"/>
  <c r="I19" i="18"/>
  <c r="I24" i="18"/>
  <c r="G29" i="9"/>
  <c r="G30" i="9" s="1"/>
  <c r="G29" i="17"/>
  <c r="H18" i="7"/>
  <c r="H42" i="9" s="1"/>
  <c r="I40" i="9" s="1"/>
  <c r="F58" i="5" l="1"/>
  <c r="F63" i="5" s="1"/>
  <c r="G27" i="6"/>
  <c r="G40" i="5"/>
  <c r="F17" i="6"/>
  <c r="F19" i="6" s="1"/>
  <c r="F12" i="9" s="1"/>
  <c r="F21" i="9" s="1"/>
  <c r="G37" i="17"/>
  <c r="G32" i="6" s="1"/>
  <c r="G36" i="17"/>
  <c r="G50" i="5" s="1"/>
  <c r="G17" i="6" s="1"/>
  <c r="G19" i="6" s="1"/>
  <c r="G12" i="9" s="1"/>
  <c r="G28" i="5"/>
  <c r="G29" i="5" s="1"/>
  <c r="G46" i="5"/>
  <c r="G30" i="7"/>
  <c r="G32" i="7" s="1"/>
  <c r="H29" i="9"/>
  <c r="H30" i="9" s="1"/>
  <c r="I18" i="7"/>
  <c r="I42" i="9" s="1"/>
  <c r="J40" i="9" s="1"/>
  <c r="G35" i="17"/>
  <c r="G34" i="5" s="1"/>
  <c r="G17" i="8"/>
  <c r="G21" i="8"/>
  <c r="F25" i="9"/>
  <c r="H57" i="13"/>
  <c r="I4" i="11"/>
  <c r="G4" i="12"/>
  <c r="H75" i="2"/>
  <c r="H4" i="2"/>
  <c r="G12" i="8"/>
  <c r="G53" i="9"/>
  <c r="I11" i="5"/>
  <c r="I13" i="5"/>
  <c r="F43" i="9"/>
  <c r="F39" i="9"/>
  <c r="G16" i="8"/>
  <c r="G18" i="8" s="1"/>
  <c r="G35" i="9"/>
  <c r="J67" i="17"/>
  <c r="J73" i="17"/>
  <c r="J10" i="5" s="1"/>
  <c r="J12" i="5" s="1"/>
  <c r="J50" i="17"/>
  <c r="J11" i="7" s="1"/>
  <c r="J47" i="9" s="1"/>
  <c r="K45" i="9" s="1"/>
  <c r="J55" i="17"/>
  <c r="J17" i="7" s="1"/>
  <c r="J37" i="9" s="1"/>
  <c r="J60" i="17"/>
  <c r="J33" i="7" s="1"/>
  <c r="J65" i="17"/>
  <c r="J48" i="17"/>
  <c r="J28" i="8" s="1"/>
  <c r="J53" i="17"/>
  <c r="J14" i="7" s="1"/>
  <c r="J58" i="17"/>
  <c r="J19" i="7" s="1"/>
  <c r="J63" i="17"/>
  <c r="J74" i="17"/>
  <c r="J64" i="5" s="1"/>
  <c r="J51" i="17"/>
  <c r="J12" i="7" s="1"/>
  <c r="J16" i="9" s="1"/>
  <c r="J56" i="17"/>
  <c r="J61" i="17"/>
  <c r="J23" i="7" s="1"/>
  <c r="J66" i="17"/>
  <c r="J29" i="7" s="1"/>
  <c r="J56" i="9" s="1"/>
  <c r="J49" i="17"/>
  <c r="J10" i="7" s="1"/>
  <c r="J54" i="17"/>
  <c r="J59" i="17"/>
  <c r="J64" i="17"/>
  <c r="J52" i="17"/>
  <c r="J13" i="7" s="1"/>
  <c r="J18" i="9" s="1"/>
  <c r="J31" i="9" s="1"/>
  <c r="J57" i="17"/>
  <c r="J62" i="17"/>
  <c r="J24" i="7" s="1"/>
  <c r="J24" i="9" s="1"/>
  <c r="I63" i="18"/>
  <c r="G54" i="9"/>
  <c r="G20" i="8"/>
  <c r="G22" i="8" s="1"/>
  <c r="F11" i="8"/>
  <c r="H26" i="7"/>
  <c r="H28" i="7" s="1"/>
  <c r="E25" i="9"/>
  <c r="E21" i="9"/>
  <c r="G36" i="9"/>
  <c r="G50" i="6"/>
  <c r="G11" i="8" s="1"/>
  <c r="F38" i="9"/>
  <c r="H30" i="17"/>
  <c r="G51" i="5"/>
  <c r="G54" i="5" s="1"/>
  <c r="G12" i="6"/>
  <c r="G32" i="5"/>
  <c r="J34" i="9"/>
  <c r="I60" i="18"/>
  <c r="I68" i="17"/>
  <c r="I15" i="7" s="1"/>
  <c r="I20" i="9" s="1"/>
  <c r="J47" i="18"/>
  <c r="J52" i="18"/>
  <c r="J41" i="18"/>
  <c r="J46" i="18"/>
  <c r="J51" i="18"/>
  <c r="J56" i="18"/>
  <c r="J40" i="18"/>
  <c r="J45" i="18"/>
  <c r="J50" i="18"/>
  <c r="J55" i="18"/>
  <c r="J39" i="18"/>
  <c r="J44" i="18"/>
  <c r="J49" i="18"/>
  <c r="J54" i="18"/>
  <c r="J38" i="18"/>
  <c r="J43" i="18"/>
  <c r="J48" i="18"/>
  <c r="J53" i="18"/>
  <c r="J37" i="18"/>
  <c r="J42" i="18"/>
  <c r="H32" i="17"/>
  <c r="E20" i="6"/>
  <c r="J30" i="18"/>
  <c r="J13" i="18"/>
  <c r="J35" i="18"/>
  <c r="J18" i="18"/>
  <c r="J23" i="18"/>
  <c r="J29" i="18"/>
  <c r="J12" i="18"/>
  <c r="J34" i="18"/>
  <c r="J17" i="18"/>
  <c r="J22" i="18"/>
  <c r="J28" i="18"/>
  <c r="J11" i="18"/>
  <c r="J33" i="18"/>
  <c r="J16" i="18"/>
  <c r="J21" i="18"/>
  <c r="J26" i="18"/>
  <c r="J10" i="18"/>
  <c r="J32" i="18"/>
  <c r="J15" i="18"/>
  <c r="J20" i="18"/>
  <c r="J25" i="18"/>
  <c r="J9" i="18"/>
  <c r="J31" i="18"/>
  <c r="J14" i="18"/>
  <c r="J19" i="18"/>
  <c r="J24" i="18"/>
  <c r="H27" i="17"/>
  <c r="H25" i="6" s="1"/>
  <c r="I12" i="17"/>
  <c r="I13" i="17"/>
  <c r="I17" i="17" s="1"/>
  <c r="I17" i="5" s="1"/>
  <c r="N6" i="10"/>
  <c r="M5" i="10"/>
  <c r="M4" i="10" s="1"/>
  <c r="E27" i="9"/>
  <c r="E15" i="9"/>
  <c r="E19" i="9"/>
  <c r="H22" i="17"/>
  <c r="H55" i="5" s="1"/>
  <c r="H32" i="9"/>
  <c r="G32" i="9"/>
  <c r="I59" i="18"/>
  <c r="F46" i="5"/>
  <c r="J5" i="17"/>
  <c r="J5" i="5"/>
  <c r="J5" i="8"/>
  <c r="J10" i="4"/>
  <c r="J11" i="4" s="1"/>
  <c r="J5" i="9"/>
  <c r="J5" i="7"/>
  <c r="J5" i="6"/>
  <c r="F28" i="6"/>
  <c r="I12" i="5"/>
  <c r="I39" i="6" s="1"/>
  <c r="J51" i="9"/>
  <c r="H39" i="17"/>
  <c r="H44" i="17"/>
  <c r="H42" i="17"/>
  <c r="H40" i="17"/>
  <c r="H51" i="6" s="1"/>
  <c r="H45" i="17"/>
  <c r="H21" i="8" s="1"/>
  <c r="H43" i="17"/>
  <c r="H41" i="17"/>
  <c r="H46" i="17"/>
  <c r="H23" i="8" s="1"/>
  <c r="J6" i="17"/>
  <c r="J6" i="7"/>
  <c r="J6" i="5"/>
  <c r="J6" i="9"/>
  <c r="J6" i="8"/>
  <c r="J6" i="6"/>
  <c r="H29" i="17"/>
  <c r="J48" i="9"/>
  <c r="I29" i="8"/>
  <c r="G36" i="5"/>
  <c r="G38" i="5" s="1"/>
  <c r="G14" i="9"/>
  <c r="G23" i="9" s="1"/>
  <c r="G15" i="5"/>
  <c r="G42" i="5"/>
  <c r="G10" i="6"/>
  <c r="H20" i="17"/>
  <c r="H41" i="5" s="1"/>
  <c r="I9" i="17"/>
  <c r="I10" i="17"/>
  <c r="I11" i="17"/>
  <c r="I58" i="18"/>
  <c r="I62" i="18"/>
  <c r="K8" i="17"/>
  <c r="K14" i="17" s="1"/>
  <c r="K8" i="9"/>
  <c r="K8" i="5"/>
  <c r="K8" i="7"/>
  <c r="K5" i="4"/>
  <c r="K9" i="4"/>
  <c r="K10" i="9" s="1"/>
  <c r="K7" i="4"/>
  <c r="L8" i="4"/>
  <c r="K8" i="6"/>
  <c r="K8" i="8"/>
  <c r="K6" i="4"/>
  <c r="H19" i="17"/>
  <c r="H33" i="17"/>
  <c r="H34" i="6" s="1"/>
  <c r="G43" i="6"/>
  <c r="G45" i="6" s="1"/>
  <c r="G40" i="6"/>
  <c r="F12" i="6"/>
  <c r="F51" i="5"/>
  <c r="F32" i="5"/>
  <c r="I4" i="17"/>
  <c r="I4" i="8"/>
  <c r="I4" i="5"/>
  <c r="I4" i="7"/>
  <c r="I4" i="6"/>
  <c r="I4" i="9"/>
  <c r="D69" i="2"/>
  <c r="H18" i="17"/>
  <c r="H27" i="5" s="1"/>
  <c r="I71" i="17"/>
  <c r="I27" i="7" s="1"/>
  <c r="I35" i="7"/>
  <c r="H25" i="17"/>
  <c r="H23" i="6" s="1"/>
  <c r="I70" i="17"/>
  <c r="I25" i="7" s="1"/>
  <c r="I26" i="9" s="1"/>
  <c r="H24" i="17"/>
  <c r="I61" i="18"/>
  <c r="H31" i="17"/>
  <c r="H31" i="6" s="1"/>
  <c r="H49" i="9" s="1"/>
  <c r="H28" i="17"/>
  <c r="H26" i="6" s="1"/>
  <c r="H23" i="17"/>
  <c r="J7" i="17"/>
  <c r="J7" i="8"/>
  <c r="J7" i="5"/>
  <c r="J7" i="7"/>
  <c r="J7" i="6"/>
  <c r="J4" i="4"/>
  <c r="J7" i="9"/>
  <c r="H16" i="7"/>
  <c r="H21" i="7" s="1"/>
  <c r="I33" i="7"/>
  <c r="H78" i="17"/>
  <c r="H83" i="17"/>
  <c r="H42" i="6" s="1"/>
  <c r="H76" i="17"/>
  <c r="H81" i="17"/>
  <c r="H38" i="6" s="1"/>
  <c r="H79" i="17"/>
  <c r="H84" i="17"/>
  <c r="H77" i="17"/>
  <c r="H33" i="8" s="1"/>
  <c r="H82" i="17"/>
  <c r="H41" i="6" s="1"/>
  <c r="H75" i="17"/>
  <c r="H23" i="5" s="1"/>
  <c r="H80" i="17"/>
  <c r="H85" i="17"/>
  <c r="F18" i="8"/>
  <c r="H34" i="17"/>
  <c r="F22" i="8"/>
  <c r="I69" i="17"/>
  <c r="I20" i="7" s="1"/>
  <c r="I28" i="9" s="1"/>
  <c r="I22" i="9"/>
  <c r="H17" i="17"/>
  <c r="H17" i="5" s="1"/>
  <c r="I64" i="18"/>
  <c r="H21" i="17"/>
  <c r="H43" i="5" s="1"/>
  <c r="G49" i="5" l="1"/>
  <c r="G13" i="9"/>
  <c r="G17" i="9" s="1"/>
  <c r="I28" i="17"/>
  <c r="I26" i="6" s="1"/>
  <c r="H17" i="8"/>
  <c r="I21" i="17"/>
  <c r="I43" i="5" s="1"/>
  <c r="I16" i="6" s="1"/>
  <c r="I33" i="17"/>
  <c r="I34" i="6" s="1"/>
  <c r="I23" i="17"/>
  <c r="I22" i="17"/>
  <c r="I55" i="5" s="1"/>
  <c r="I41" i="9" s="1"/>
  <c r="I20" i="17"/>
  <c r="I41" i="5" s="1"/>
  <c r="I42" i="5" s="1"/>
  <c r="I32" i="17"/>
  <c r="I18" i="17"/>
  <c r="I27" i="5" s="1"/>
  <c r="I27" i="17"/>
  <c r="I25" i="6" s="1"/>
  <c r="I30" i="17"/>
  <c r="I25" i="17"/>
  <c r="I23" i="6" s="1"/>
  <c r="I26" i="17"/>
  <c r="I24" i="6" s="1"/>
  <c r="H35" i="17"/>
  <c r="H34" i="5" s="1"/>
  <c r="H36" i="5" s="1"/>
  <c r="H38" i="5" s="1"/>
  <c r="G38" i="9"/>
  <c r="J64" i="18"/>
  <c r="I29" i="17"/>
  <c r="I31" i="17"/>
  <c r="I31" i="6" s="1"/>
  <c r="I49" i="9" s="1"/>
  <c r="J39" i="6"/>
  <c r="I57" i="13"/>
  <c r="J4" i="11"/>
  <c r="H4" i="12"/>
  <c r="I4" i="2"/>
  <c r="I75" i="2"/>
  <c r="F13" i="6"/>
  <c r="I39" i="17"/>
  <c r="I44" i="17"/>
  <c r="I42" i="17"/>
  <c r="I45" i="17"/>
  <c r="I43" i="17"/>
  <c r="I41" i="17"/>
  <c r="I46" i="17"/>
  <c r="I23" i="8" s="1"/>
  <c r="I40" i="17"/>
  <c r="I51" i="6" s="1"/>
  <c r="J60" i="18"/>
  <c r="I34" i="17"/>
  <c r="J11" i="5"/>
  <c r="J13" i="5"/>
  <c r="I14" i="9"/>
  <c r="I23" i="9" s="1"/>
  <c r="I15" i="5"/>
  <c r="I10" i="6"/>
  <c r="H41" i="9"/>
  <c r="H36" i="9" s="1"/>
  <c r="H18" i="6"/>
  <c r="H36" i="17"/>
  <c r="H50" i="5" s="1"/>
  <c r="I24" i="17"/>
  <c r="J18" i="7"/>
  <c r="J42" i="9" s="1"/>
  <c r="K40" i="9" s="1"/>
  <c r="H19" i="5"/>
  <c r="H37" i="17"/>
  <c r="H32" i="6" s="1"/>
  <c r="I19" i="17"/>
  <c r="J71" i="17"/>
  <c r="J27" i="7" s="1"/>
  <c r="J35" i="7"/>
  <c r="J62" i="18"/>
  <c r="J69" i="17"/>
  <c r="J20" i="7" s="1"/>
  <c r="J28" i="9" s="1"/>
  <c r="H43" i="6"/>
  <c r="H45" i="6" s="1"/>
  <c r="H40" i="6"/>
  <c r="J59" i="18"/>
  <c r="J61" i="18"/>
  <c r="J68" i="17"/>
  <c r="J15" i="7" s="1"/>
  <c r="J20" i="9" s="1"/>
  <c r="K48" i="9"/>
  <c r="J29" i="8"/>
  <c r="K51" i="9"/>
  <c r="J22" i="9"/>
  <c r="F54" i="5"/>
  <c r="F56" i="5"/>
  <c r="J9" i="17"/>
  <c r="J26" i="17" s="1"/>
  <c r="J24" i="6" s="1"/>
  <c r="J11" i="17"/>
  <c r="J10" i="17"/>
  <c r="K6" i="17"/>
  <c r="K6" i="8"/>
  <c r="K6" i="5"/>
  <c r="K6" i="9"/>
  <c r="K6" i="7"/>
  <c r="K6" i="6"/>
  <c r="N5" i="10"/>
  <c r="N4" i="10" s="1"/>
  <c r="J70" i="17"/>
  <c r="J25" i="7" s="1"/>
  <c r="J26" i="9" s="1"/>
  <c r="I78" i="17"/>
  <c r="I83" i="17"/>
  <c r="I42" i="6" s="1"/>
  <c r="I76" i="17"/>
  <c r="I81" i="17"/>
  <c r="I38" i="6" s="1"/>
  <c r="I79" i="17"/>
  <c r="I84" i="17"/>
  <c r="I77" i="17"/>
  <c r="I33" i="8" s="1"/>
  <c r="I82" i="17"/>
  <c r="I41" i="6" s="1"/>
  <c r="I75" i="17"/>
  <c r="I23" i="5" s="1"/>
  <c r="I19" i="5" s="1"/>
  <c r="I80" i="17"/>
  <c r="I85" i="17"/>
  <c r="I21" i="5" s="1"/>
  <c r="E21" i="6"/>
  <c r="E29" i="6"/>
  <c r="K7" i="17"/>
  <c r="K7" i="9"/>
  <c r="K7" i="5"/>
  <c r="K7" i="6"/>
  <c r="K4" i="4"/>
  <c r="K7" i="7"/>
  <c r="K7" i="8"/>
  <c r="K73" i="17"/>
  <c r="K10" i="5" s="1"/>
  <c r="K50" i="17"/>
  <c r="K11" i="7" s="1"/>
  <c r="K47" i="9" s="1"/>
  <c r="L45" i="9" s="1"/>
  <c r="K55" i="17"/>
  <c r="K17" i="7" s="1"/>
  <c r="K37" i="9" s="1"/>
  <c r="K60" i="17"/>
  <c r="K33" i="7" s="1"/>
  <c r="K65" i="17"/>
  <c r="K48" i="17"/>
  <c r="K28" i="8" s="1"/>
  <c r="K53" i="17"/>
  <c r="K14" i="7" s="1"/>
  <c r="K58" i="17"/>
  <c r="K19" i="7" s="1"/>
  <c r="K63" i="17"/>
  <c r="K74" i="17"/>
  <c r="K64" i="5" s="1"/>
  <c r="K56" i="17"/>
  <c r="K61" i="17"/>
  <c r="K23" i="7" s="1"/>
  <c r="K66" i="17"/>
  <c r="K29" i="7" s="1"/>
  <c r="K56" i="9" s="1"/>
  <c r="K49" i="17"/>
  <c r="K10" i="7" s="1"/>
  <c r="K54" i="17"/>
  <c r="K59" i="17"/>
  <c r="K64" i="17"/>
  <c r="K52" i="17"/>
  <c r="K13" i="7" s="1"/>
  <c r="K18" i="9" s="1"/>
  <c r="K31" i="9" s="1"/>
  <c r="K57" i="17"/>
  <c r="K62" i="17"/>
  <c r="K24" i="7" s="1"/>
  <c r="K24" i="9" s="1"/>
  <c r="K67" i="17"/>
  <c r="K51" i="17"/>
  <c r="K12" i="7" s="1"/>
  <c r="K16" i="9" s="1"/>
  <c r="H53" i="9"/>
  <c r="H12" i="8"/>
  <c r="G43" i="9"/>
  <c r="G39" i="9"/>
  <c r="I16" i="7"/>
  <c r="I21" i="7" s="1"/>
  <c r="H36" i="7"/>
  <c r="H30" i="7"/>
  <c r="H32" i="7" s="1"/>
  <c r="L8" i="17"/>
  <c r="L14" i="17" s="1"/>
  <c r="L8" i="7"/>
  <c r="L8" i="8"/>
  <c r="L5" i="4"/>
  <c r="L6" i="4"/>
  <c r="L8" i="9"/>
  <c r="L9" i="4"/>
  <c r="L10" i="9" s="1"/>
  <c r="L7" i="4"/>
  <c r="L8" i="6"/>
  <c r="M8" i="4"/>
  <c r="L8" i="5"/>
  <c r="H44" i="5"/>
  <c r="H16" i="6"/>
  <c r="H28" i="5"/>
  <c r="H29" i="5" s="1"/>
  <c r="K5" i="17"/>
  <c r="K5" i="5"/>
  <c r="K10" i="4"/>
  <c r="K11" i="4" s="1"/>
  <c r="K5" i="7"/>
  <c r="K5" i="9"/>
  <c r="K5" i="6"/>
  <c r="K5" i="8"/>
  <c r="H34" i="7"/>
  <c r="H40" i="5"/>
  <c r="H15" i="6"/>
  <c r="H35" i="9"/>
  <c r="H16" i="8"/>
  <c r="H18" i="8" s="1"/>
  <c r="I29" i="9"/>
  <c r="I30" i="9" s="1"/>
  <c r="J58" i="18"/>
  <c r="H27" i="6"/>
  <c r="H11" i="6"/>
  <c r="H45" i="5"/>
  <c r="H24" i="5"/>
  <c r="H25" i="5" s="1"/>
  <c r="G13" i="6"/>
  <c r="H54" i="9"/>
  <c r="H20" i="8"/>
  <c r="K34" i="9"/>
  <c r="G25" i="9"/>
  <c r="G21" i="9"/>
  <c r="J12" i="17"/>
  <c r="J13" i="17"/>
  <c r="H14" i="9"/>
  <c r="H23" i="9" s="1"/>
  <c r="H15" i="5"/>
  <c r="H10" i="6"/>
  <c r="H42" i="5"/>
  <c r="J4" i="17"/>
  <c r="J4" i="9"/>
  <c r="J4" i="8"/>
  <c r="J4" i="5"/>
  <c r="J4" i="6"/>
  <c r="E69" i="2"/>
  <c r="J4" i="7"/>
  <c r="I26" i="7"/>
  <c r="I28" i="7" s="1"/>
  <c r="G56" i="5"/>
  <c r="G58" i="5"/>
  <c r="H50" i="6"/>
  <c r="J63" i="18"/>
  <c r="I45" i="5" l="1"/>
  <c r="I35" i="17"/>
  <c r="I34" i="5" s="1"/>
  <c r="I32" i="5" s="1"/>
  <c r="I18" i="6"/>
  <c r="H51" i="5"/>
  <c r="H54" i="5" s="1"/>
  <c r="H32" i="5"/>
  <c r="H12" i="6"/>
  <c r="J21" i="17"/>
  <c r="J43" i="5" s="1"/>
  <c r="I40" i="5"/>
  <c r="I15" i="6"/>
  <c r="I37" i="17"/>
  <c r="I32" i="6" s="1"/>
  <c r="I44" i="5"/>
  <c r="I36" i="17"/>
  <c r="I50" i="5" s="1"/>
  <c r="I17" i="6" s="1"/>
  <c r="I11" i="6"/>
  <c r="I27" i="6"/>
  <c r="J33" i="17"/>
  <c r="J34" i="6" s="1"/>
  <c r="J26" i="7"/>
  <c r="J28" i="7" s="1"/>
  <c r="I28" i="5"/>
  <c r="I29" i="5" s="1"/>
  <c r="I30" i="5" s="1"/>
  <c r="J23" i="17"/>
  <c r="J18" i="17"/>
  <c r="J27" i="5" s="1"/>
  <c r="J11" i="6" s="1"/>
  <c r="J30" i="17"/>
  <c r="J25" i="17"/>
  <c r="J23" i="6" s="1"/>
  <c r="J20" i="17"/>
  <c r="J41" i="5" s="1"/>
  <c r="J15" i="6" s="1"/>
  <c r="I17" i="8"/>
  <c r="J32" i="17"/>
  <c r="J28" i="17"/>
  <c r="J26" i="6" s="1"/>
  <c r="J17" i="17"/>
  <c r="J17" i="5" s="1"/>
  <c r="J14" i="9" s="1"/>
  <c r="J23" i="9" s="1"/>
  <c r="J34" i="17"/>
  <c r="J19" i="17"/>
  <c r="I46" i="5"/>
  <c r="J31" i="17"/>
  <c r="J31" i="6" s="1"/>
  <c r="J49" i="9" s="1"/>
  <c r="H39" i="9"/>
  <c r="H43" i="9"/>
  <c r="J39" i="17"/>
  <c r="J44" i="17"/>
  <c r="J42" i="17"/>
  <c r="J40" i="17"/>
  <c r="J51" i="6" s="1"/>
  <c r="J43" i="17"/>
  <c r="J41" i="17"/>
  <c r="J46" i="17"/>
  <c r="J23" i="8" s="1"/>
  <c r="J45" i="17"/>
  <c r="I54" i="9"/>
  <c r="I20" i="8"/>
  <c r="J57" i="13"/>
  <c r="K4" i="11"/>
  <c r="I4" i="12"/>
  <c r="J75" i="2"/>
  <c r="J4" i="2"/>
  <c r="L7" i="17"/>
  <c r="L7" i="9"/>
  <c r="L7" i="7"/>
  <c r="L7" i="5"/>
  <c r="L7" i="6"/>
  <c r="L4" i="4"/>
  <c r="L7" i="8"/>
  <c r="L5" i="17"/>
  <c r="L5" i="8"/>
  <c r="L5" i="5"/>
  <c r="L5" i="9"/>
  <c r="L5" i="7"/>
  <c r="L5" i="6"/>
  <c r="L10" i="4"/>
  <c r="L11" i="4" s="1"/>
  <c r="J27" i="17"/>
  <c r="J25" i="6" s="1"/>
  <c r="L34" i="9"/>
  <c r="J22" i="17"/>
  <c r="J55" i="5" s="1"/>
  <c r="M8" i="17"/>
  <c r="M14" i="17" s="1"/>
  <c r="M8" i="7"/>
  <c r="M8" i="8"/>
  <c r="M6" i="4"/>
  <c r="M8" i="9"/>
  <c r="M9" i="4"/>
  <c r="M10" i="9" s="1"/>
  <c r="M7" i="4"/>
  <c r="M8" i="6"/>
  <c r="N8" i="4"/>
  <c r="M8" i="5"/>
  <c r="M5" i="4"/>
  <c r="H58" i="5"/>
  <c r="H63" i="5" s="1"/>
  <c r="F11" i="9"/>
  <c r="F20" i="6"/>
  <c r="J29" i="17"/>
  <c r="J16" i="7"/>
  <c r="J21" i="7" s="1"/>
  <c r="H38" i="9"/>
  <c r="I34" i="7"/>
  <c r="J24" i="17"/>
  <c r="I32" i="9"/>
  <c r="K13" i="5"/>
  <c r="K11" i="5"/>
  <c r="H13" i="9"/>
  <c r="H17" i="9" s="1"/>
  <c r="H17" i="6"/>
  <c r="H19" i="6" s="1"/>
  <c r="H12" i="9" s="1"/>
  <c r="H49" i="5"/>
  <c r="I36" i="9"/>
  <c r="I50" i="6"/>
  <c r="I11" i="8" s="1"/>
  <c r="H46" i="5"/>
  <c r="K4" i="17"/>
  <c r="K4" i="9"/>
  <c r="K4" i="7"/>
  <c r="F69" i="2"/>
  <c r="K4" i="8"/>
  <c r="K4" i="5"/>
  <c r="K4" i="6"/>
  <c r="I35" i="9"/>
  <c r="I16" i="8"/>
  <c r="L50" i="17"/>
  <c r="L11" i="7" s="1"/>
  <c r="L47" i="9" s="1"/>
  <c r="M45" i="9" s="1"/>
  <c r="L55" i="17"/>
  <c r="L17" i="7" s="1"/>
  <c r="L37" i="9" s="1"/>
  <c r="L60" i="17"/>
  <c r="L33" i="7" s="1"/>
  <c r="L65" i="17"/>
  <c r="L48" i="17"/>
  <c r="L28" i="8" s="1"/>
  <c r="L53" i="17"/>
  <c r="L14" i="7" s="1"/>
  <c r="L58" i="17"/>
  <c r="L19" i="7" s="1"/>
  <c r="L63" i="17"/>
  <c r="L74" i="17"/>
  <c r="L64" i="5" s="1"/>
  <c r="L51" i="17"/>
  <c r="L12" i="7" s="1"/>
  <c r="L16" i="9" s="1"/>
  <c r="L61" i="17"/>
  <c r="L23" i="7" s="1"/>
  <c r="L66" i="17"/>
  <c r="L29" i="7" s="1"/>
  <c r="L56" i="9" s="1"/>
  <c r="L49" i="17"/>
  <c r="L10" i="7" s="1"/>
  <c r="L54" i="17"/>
  <c r="L59" i="17"/>
  <c r="L64" i="17"/>
  <c r="L52" i="17"/>
  <c r="L13" i="7" s="1"/>
  <c r="L18" i="9" s="1"/>
  <c r="L31" i="9" s="1"/>
  <c r="L57" i="17"/>
  <c r="L62" i="17"/>
  <c r="L24" i="7" s="1"/>
  <c r="L24" i="9" s="1"/>
  <c r="L67" i="17"/>
  <c r="L73" i="17"/>
  <c r="L10" i="5" s="1"/>
  <c r="L12" i="5" s="1"/>
  <c r="L39" i="6" s="1"/>
  <c r="L56" i="17"/>
  <c r="J16" i="6"/>
  <c r="K9" i="17"/>
  <c r="K24" i="17" s="1"/>
  <c r="K10" i="17"/>
  <c r="K11" i="17"/>
  <c r="I24" i="5"/>
  <c r="I25" i="5" s="1"/>
  <c r="I26" i="5" s="1"/>
  <c r="E52" i="6"/>
  <c r="E30" i="6"/>
  <c r="E33" i="6"/>
  <c r="E35" i="6" s="1"/>
  <c r="K12" i="5"/>
  <c r="K39" i="6" s="1"/>
  <c r="L6" i="17"/>
  <c r="L6" i="8"/>
  <c r="L6" i="9"/>
  <c r="L6" i="7"/>
  <c r="L6" i="5"/>
  <c r="L6" i="6"/>
  <c r="K22" i="9"/>
  <c r="H22" i="8"/>
  <c r="L51" i="9"/>
  <c r="I21" i="8"/>
  <c r="I40" i="6"/>
  <c r="I43" i="6"/>
  <c r="I12" i="8"/>
  <c r="I53" i="9"/>
  <c r="K70" i="17"/>
  <c r="K25" i="7" s="1"/>
  <c r="K26" i="9" s="1"/>
  <c r="H13" i="6"/>
  <c r="I58" i="5"/>
  <c r="I60" i="5" s="1"/>
  <c r="H11" i="8"/>
  <c r="G63" i="5"/>
  <c r="G28" i="6"/>
  <c r="K69" i="17"/>
  <c r="K20" i="7" s="1"/>
  <c r="K28" i="9" s="1"/>
  <c r="K68" i="17"/>
  <c r="K15" i="7" s="1"/>
  <c r="K20" i="9" s="1"/>
  <c r="J78" i="17"/>
  <c r="J83" i="17"/>
  <c r="J42" i="6" s="1"/>
  <c r="J76" i="17"/>
  <c r="J81" i="17"/>
  <c r="J38" i="6" s="1"/>
  <c r="J84" i="17"/>
  <c r="J47" i="5" s="1"/>
  <c r="J77" i="17"/>
  <c r="J33" i="8" s="1"/>
  <c r="J82" i="17"/>
  <c r="J41" i="6" s="1"/>
  <c r="J75" i="17"/>
  <c r="J23" i="5" s="1"/>
  <c r="J19" i="5" s="1"/>
  <c r="J20" i="5" s="1"/>
  <c r="J80" i="17"/>
  <c r="J85" i="17"/>
  <c r="J21" i="5" s="1"/>
  <c r="J79" i="17"/>
  <c r="K18" i="7"/>
  <c r="K42" i="9" s="1"/>
  <c r="L40" i="9" s="1"/>
  <c r="K71" i="17"/>
  <c r="K27" i="7" s="1"/>
  <c r="K35" i="7"/>
  <c r="J29" i="9"/>
  <c r="J30" i="9" s="1"/>
  <c r="I36" i="7"/>
  <c r="I30" i="7"/>
  <c r="I32" i="7" s="1"/>
  <c r="G11" i="9"/>
  <c r="G20" i="6"/>
  <c r="L48" i="9"/>
  <c r="K29" i="8"/>
  <c r="K12" i="17"/>
  <c r="K13" i="17"/>
  <c r="I12" i="6" l="1"/>
  <c r="I13" i="6" s="1"/>
  <c r="I11" i="9" s="1"/>
  <c r="I36" i="5"/>
  <c r="I51" i="5"/>
  <c r="I56" i="5" s="1"/>
  <c r="H56" i="5"/>
  <c r="I19" i="6"/>
  <c r="I12" i="9" s="1"/>
  <c r="I21" i="9" s="1"/>
  <c r="I13" i="9"/>
  <c r="I17" i="9" s="1"/>
  <c r="J44" i="5"/>
  <c r="J37" i="17"/>
  <c r="J32" i="6" s="1"/>
  <c r="I49" i="5"/>
  <c r="K31" i="17"/>
  <c r="K31" i="6" s="1"/>
  <c r="K49" i="9" s="1"/>
  <c r="I22" i="8"/>
  <c r="K26" i="17"/>
  <c r="K24" i="6" s="1"/>
  <c r="J45" i="5"/>
  <c r="J40" i="5"/>
  <c r="J42" i="5"/>
  <c r="J10" i="6"/>
  <c r="J15" i="5"/>
  <c r="J16" i="5" s="1"/>
  <c r="J35" i="17"/>
  <c r="J34" i="5" s="1"/>
  <c r="J36" i="5" s="1"/>
  <c r="J37" i="5" s="1"/>
  <c r="J21" i="8"/>
  <c r="J17" i="8"/>
  <c r="J46" i="5"/>
  <c r="J36" i="17"/>
  <c r="J50" i="5" s="1"/>
  <c r="J51" i="5" s="1"/>
  <c r="J52" i="5" s="1"/>
  <c r="K30" i="17"/>
  <c r="K20" i="17"/>
  <c r="K41" i="5" s="1"/>
  <c r="K15" i="6" s="1"/>
  <c r="K16" i="7"/>
  <c r="K21" i="7" s="1"/>
  <c r="K34" i="7" s="1"/>
  <c r="K32" i="17"/>
  <c r="K25" i="17"/>
  <c r="K23" i="6" s="1"/>
  <c r="L68" i="17"/>
  <c r="L15" i="7" s="1"/>
  <c r="L20" i="9" s="1"/>
  <c r="K18" i="17"/>
  <c r="K27" i="5" s="1"/>
  <c r="K22" i="17"/>
  <c r="K55" i="5" s="1"/>
  <c r="K41" i="9" s="1"/>
  <c r="K21" i="17"/>
  <c r="K43" i="5" s="1"/>
  <c r="K16" i="6" s="1"/>
  <c r="J24" i="5"/>
  <c r="J25" i="5" s="1"/>
  <c r="J26" i="5" s="1"/>
  <c r="K27" i="17"/>
  <c r="K25" i="6" s="1"/>
  <c r="K34" i="17"/>
  <c r="K19" i="17"/>
  <c r="I18" i="8"/>
  <c r="L12" i="17"/>
  <c r="L13" i="17"/>
  <c r="M7" i="17"/>
  <c r="M7" i="9"/>
  <c r="M7" i="8"/>
  <c r="M7" i="6"/>
  <c r="M4" i="4"/>
  <c r="M7" i="5"/>
  <c r="M7" i="7"/>
  <c r="I28" i="6"/>
  <c r="L22" i="9"/>
  <c r="G21" i="6"/>
  <c r="G29" i="6"/>
  <c r="M5" i="17"/>
  <c r="M5" i="8"/>
  <c r="M5" i="5"/>
  <c r="M5" i="9"/>
  <c r="M5" i="7"/>
  <c r="M5" i="6"/>
  <c r="M10" i="4"/>
  <c r="M11" i="4" s="1"/>
  <c r="H28" i="6"/>
  <c r="K39" i="17"/>
  <c r="K44" i="17"/>
  <c r="K42" i="17"/>
  <c r="K40" i="17"/>
  <c r="K51" i="6" s="1"/>
  <c r="K45" i="17"/>
  <c r="K21" i="8" s="1"/>
  <c r="K43" i="17"/>
  <c r="K41" i="17"/>
  <c r="K46" i="17"/>
  <c r="K23" i="8" s="1"/>
  <c r="K29" i="17"/>
  <c r="M6" i="17"/>
  <c r="M6" i="5"/>
  <c r="M6" i="9"/>
  <c r="M6" i="8"/>
  <c r="M6" i="7"/>
  <c r="M6" i="6"/>
  <c r="G15" i="9"/>
  <c r="G27" i="9"/>
  <c r="G19" i="9"/>
  <c r="H25" i="9"/>
  <c r="H21" i="9"/>
  <c r="M34" i="9"/>
  <c r="I38" i="9"/>
  <c r="J32" i="9"/>
  <c r="K78" i="17"/>
  <c r="K83" i="17"/>
  <c r="K42" i="6" s="1"/>
  <c r="K76" i="17"/>
  <c r="K81" i="17"/>
  <c r="K38" i="6" s="1"/>
  <c r="K79" i="17"/>
  <c r="K77" i="17"/>
  <c r="K33" i="8" s="1"/>
  <c r="K82" i="17"/>
  <c r="K41" i="6" s="1"/>
  <c r="K75" i="17"/>
  <c r="K23" i="5" s="1"/>
  <c r="K19" i="5" s="1"/>
  <c r="K20" i="5" s="1"/>
  <c r="K80" i="17"/>
  <c r="K85" i="17"/>
  <c r="K21" i="5" s="1"/>
  <c r="K84" i="17"/>
  <c r="K47" i="5" s="1"/>
  <c r="K48" i="5" s="1"/>
  <c r="I37" i="5"/>
  <c r="I38" i="5"/>
  <c r="J41" i="9"/>
  <c r="J36" i="9" s="1"/>
  <c r="J18" i="6"/>
  <c r="L9" i="17"/>
  <c r="L21" i="17" s="1"/>
  <c r="L43" i="5" s="1"/>
  <c r="L10" i="17"/>
  <c r="L11" i="17"/>
  <c r="J12" i="8"/>
  <c r="J53" i="9"/>
  <c r="J16" i="8"/>
  <c r="J35" i="9"/>
  <c r="J54" i="9"/>
  <c r="J20" i="8"/>
  <c r="I43" i="9"/>
  <c r="I39" i="9"/>
  <c r="J50" i="6"/>
  <c r="J11" i="8" s="1"/>
  <c r="J34" i="7"/>
  <c r="M51" i="9"/>
  <c r="J36" i="7"/>
  <c r="J30" i="7"/>
  <c r="J32" i="7" s="1"/>
  <c r="I45" i="6"/>
  <c r="E10" i="8"/>
  <c r="E52" i="9"/>
  <c r="E36" i="6"/>
  <c r="J22" i="5"/>
  <c r="J40" i="6"/>
  <c r="J43" i="6"/>
  <c r="J28" i="5"/>
  <c r="J29" i="5" s="1"/>
  <c r="J30" i="5" s="1"/>
  <c r="K17" i="17"/>
  <c r="K17" i="5" s="1"/>
  <c r="K40" i="5" s="1"/>
  <c r="I61" i="5"/>
  <c r="I44" i="6" s="1"/>
  <c r="I63" i="5"/>
  <c r="I59" i="5"/>
  <c r="J32" i="5"/>
  <c r="J12" i="6"/>
  <c r="J13" i="6" s="1"/>
  <c r="J48" i="5"/>
  <c r="K26" i="7"/>
  <c r="K28" i="7" s="1"/>
  <c r="K33" i="17"/>
  <c r="K34" i="6" s="1"/>
  <c r="L4" i="17"/>
  <c r="L4" i="9"/>
  <c r="L4" i="7"/>
  <c r="L4" i="5"/>
  <c r="L4" i="8"/>
  <c r="L4" i="6"/>
  <c r="G69" i="2"/>
  <c r="L70" i="17"/>
  <c r="L25" i="7" s="1"/>
  <c r="L26" i="9" s="1"/>
  <c r="M50" i="17"/>
  <c r="M11" i="7" s="1"/>
  <c r="M47" i="9" s="1"/>
  <c r="N45" i="9" s="1"/>
  <c r="M55" i="17"/>
  <c r="M17" i="7" s="1"/>
  <c r="M37" i="9" s="1"/>
  <c r="M60" i="17"/>
  <c r="M33" i="7" s="1"/>
  <c r="M65" i="17"/>
  <c r="M48" i="17"/>
  <c r="M28" i="8" s="1"/>
  <c r="M53" i="17"/>
  <c r="M14" i="7" s="1"/>
  <c r="M58" i="17"/>
  <c r="M19" i="7" s="1"/>
  <c r="M63" i="17"/>
  <c r="M74" i="17"/>
  <c r="M64" i="5" s="1"/>
  <c r="M51" i="17"/>
  <c r="M12" i="7" s="1"/>
  <c r="M16" i="9" s="1"/>
  <c r="M56" i="17"/>
  <c r="M66" i="17"/>
  <c r="M29" i="7" s="1"/>
  <c r="M56" i="9" s="1"/>
  <c r="M49" i="17"/>
  <c r="M10" i="7" s="1"/>
  <c r="M54" i="17"/>
  <c r="M59" i="17"/>
  <c r="M64" i="17"/>
  <c r="M52" i="17"/>
  <c r="M13" i="7" s="1"/>
  <c r="M18" i="9" s="1"/>
  <c r="M57" i="17"/>
  <c r="M62" i="17"/>
  <c r="M24" i="7" s="1"/>
  <c r="M24" i="9" s="1"/>
  <c r="M67" i="17"/>
  <c r="M73" i="17"/>
  <c r="M10" i="5" s="1"/>
  <c r="M12" i="5" s="1"/>
  <c r="M39" i="6" s="1"/>
  <c r="M61" i="17"/>
  <c r="M23" i="7" s="1"/>
  <c r="E53" i="6"/>
  <c r="E54" i="6" s="1"/>
  <c r="E55" i="6" s="1"/>
  <c r="L18" i="7"/>
  <c r="L42" i="9" s="1"/>
  <c r="M40" i="9" s="1"/>
  <c r="J27" i="6"/>
  <c r="K28" i="17"/>
  <c r="K26" i="6" s="1"/>
  <c r="L71" i="17"/>
  <c r="L27" i="7" s="1"/>
  <c r="L35" i="7"/>
  <c r="F21" i="6"/>
  <c r="F29" i="6"/>
  <c r="M48" i="9"/>
  <c r="L29" i="8"/>
  <c r="N8" i="17"/>
  <c r="N14" i="17" s="1"/>
  <c r="N8" i="7"/>
  <c r="N8" i="8"/>
  <c r="N6" i="4"/>
  <c r="N8" i="5"/>
  <c r="N8" i="6"/>
  <c r="N9" i="4"/>
  <c r="N10" i="9" s="1"/>
  <c r="N7" i="4"/>
  <c r="N8" i="9"/>
  <c r="O8" i="4"/>
  <c r="N5" i="4"/>
  <c r="H11" i="9"/>
  <c r="H20" i="6"/>
  <c r="J58" i="5"/>
  <c r="J60" i="5" s="1"/>
  <c r="K29" i="9"/>
  <c r="K30" i="9" s="1"/>
  <c r="K32" i="9" s="1"/>
  <c r="L13" i="5"/>
  <c r="L11" i="5"/>
  <c r="K23" i="17"/>
  <c r="L69" i="17"/>
  <c r="L20" i="7" s="1"/>
  <c r="L28" i="9" s="1"/>
  <c r="I54" i="5"/>
  <c r="F15" i="9"/>
  <c r="F19" i="9"/>
  <c r="F27" i="9"/>
  <c r="I52" i="5" l="1"/>
  <c r="I53" i="5" s="1"/>
  <c r="I57" i="6" s="1"/>
  <c r="L31" i="17"/>
  <c r="L31" i="6" s="1"/>
  <c r="L49" i="9" s="1"/>
  <c r="I25" i="9"/>
  <c r="I20" i="6"/>
  <c r="K45" i="5"/>
  <c r="K46" i="5" s="1"/>
  <c r="J49" i="5"/>
  <c r="K11" i="6"/>
  <c r="L29" i="17"/>
  <c r="J38" i="5"/>
  <c r="L19" i="17"/>
  <c r="J18" i="8"/>
  <c r="K17" i="8"/>
  <c r="M70" i="17"/>
  <c r="M25" i="7" s="1"/>
  <c r="M26" i="9" s="1"/>
  <c r="K37" i="17"/>
  <c r="K32" i="6" s="1"/>
  <c r="L16" i="7"/>
  <c r="L21" i="7" s="1"/>
  <c r="J13" i="9"/>
  <c r="J17" i="9" s="1"/>
  <c r="L34" i="17"/>
  <c r="J17" i="6"/>
  <c r="J19" i="6" s="1"/>
  <c r="J12" i="9" s="1"/>
  <c r="J21" i="9" s="1"/>
  <c r="K35" i="17"/>
  <c r="K34" i="5" s="1"/>
  <c r="K36" i="5" s="1"/>
  <c r="K27" i="6"/>
  <c r="L27" i="17"/>
  <c r="L25" i="6" s="1"/>
  <c r="L17" i="17"/>
  <c r="L17" i="5" s="1"/>
  <c r="L10" i="6" s="1"/>
  <c r="K44" i="5"/>
  <c r="J38" i="9"/>
  <c r="L26" i="7"/>
  <c r="L28" i="7" s="1"/>
  <c r="L36" i="7" s="1"/>
  <c r="K18" i="6"/>
  <c r="K36" i="17"/>
  <c r="K50" i="5" s="1"/>
  <c r="K13" i="9" s="1"/>
  <c r="K17" i="9" s="1"/>
  <c r="L20" i="17"/>
  <c r="L41" i="5" s="1"/>
  <c r="L32" i="17"/>
  <c r="L16" i="6"/>
  <c r="N51" i="9"/>
  <c r="G30" i="6"/>
  <c r="G33" i="6"/>
  <c r="G35" i="6" s="1"/>
  <c r="G52" i="6"/>
  <c r="F30" i="6"/>
  <c r="F33" i="6"/>
  <c r="F35" i="6" s="1"/>
  <c r="F52" i="6"/>
  <c r="E13" i="8"/>
  <c r="E14" i="8" s="1"/>
  <c r="L24" i="17"/>
  <c r="J61" i="5"/>
  <c r="J44" i="6" s="1"/>
  <c r="J59" i="5"/>
  <c r="J63" i="5"/>
  <c r="J56" i="5"/>
  <c r="J43" i="9"/>
  <c r="J39" i="9"/>
  <c r="L26" i="17"/>
  <c r="L24" i="6" s="1"/>
  <c r="M4" i="17"/>
  <c r="M4" i="8"/>
  <c r="M4" i="9"/>
  <c r="M4" i="7"/>
  <c r="M4" i="5"/>
  <c r="M4" i="6"/>
  <c r="H69" i="2"/>
  <c r="N34" i="9"/>
  <c r="L44" i="17"/>
  <c r="L42" i="17"/>
  <c r="L40" i="17"/>
  <c r="L51" i="6" s="1"/>
  <c r="L45" i="17"/>
  <c r="L43" i="17"/>
  <c r="L41" i="17"/>
  <c r="L46" i="17"/>
  <c r="L23" i="8" s="1"/>
  <c r="L39" i="17"/>
  <c r="K36" i="7"/>
  <c r="K30" i="7"/>
  <c r="K32" i="7" s="1"/>
  <c r="L78" i="17"/>
  <c r="L83" i="17"/>
  <c r="L42" i="6" s="1"/>
  <c r="L76" i="17"/>
  <c r="L81" i="17"/>
  <c r="L38" i="6" s="1"/>
  <c r="L79" i="17"/>
  <c r="L84" i="17"/>
  <c r="L47" i="5" s="1"/>
  <c r="L77" i="17"/>
  <c r="L33" i="8" s="1"/>
  <c r="L82" i="17"/>
  <c r="L41" i="6" s="1"/>
  <c r="L75" i="17"/>
  <c r="L23" i="5" s="1"/>
  <c r="L19" i="5" s="1"/>
  <c r="L20" i="5" s="1"/>
  <c r="L80" i="17"/>
  <c r="L85" i="17"/>
  <c r="L21" i="5" s="1"/>
  <c r="H21" i="6"/>
  <c r="H29" i="6"/>
  <c r="J22" i="8"/>
  <c r="H27" i="9"/>
  <c r="H15" i="9"/>
  <c r="H19" i="9"/>
  <c r="M12" i="17"/>
  <c r="M13" i="17"/>
  <c r="M10" i="17"/>
  <c r="M18" i="17" s="1"/>
  <c r="M27" i="5" s="1"/>
  <c r="M11" i="17"/>
  <c r="M9" i="17"/>
  <c r="N5" i="17"/>
  <c r="N5" i="9"/>
  <c r="N5" i="7"/>
  <c r="N5" i="8"/>
  <c r="N5" i="5"/>
  <c r="N5" i="6"/>
  <c r="N10" i="4"/>
  <c r="N11" i="4" s="1"/>
  <c r="N48" i="9"/>
  <c r="M29" i="8"/>
  <c r="K24" i="5"/>
  <c r="K25" i="5" s="1"/>
  <c r="K26" i="5" s="1"/>
  <c r="L29" i="9"/>
  <c r="L30" i="9" s="1"/>
  <c r="J11" i="9"/>
  <c r="K12" i="8"/>
  <c r="K53" i="9"/>
  <c r="K16" i="8"/>
  <c r="K35" i="9"/>
  <c r="K54" i="9"/>
  <c r="K20" i="8"/>
  <c r="K22" i="8" s="1"/>
  <c r="J45" i="6"/>
  <c r="K36" i="9"/>
  <c r="K50" i="6"/>
  <c r="K11" i="8" s="1"/>
  <c r="J54" i="5"/>
  <c r="J53" i="5"/>
  <c r="J28" i="6"/>
  <c r="D70" i="2"/>
  <c r="N6" i="17"/>
  <c r="N6" i="9"/>
  <c r="N6" i="8"/>
  <c r="N6" i="7"/>
  <c r="N6" i="5"/>
  <c r="N6" i="6"/>
  <c r="K43" i="6"/>
  <c r="K40" i="6"/>
  <c r="L33" i="17"/>
  <c r="L34" i="6" s="1"/>
  <c r="M18" i="7"/>
  <c r="M42" i="9" s="1"/>
  <c r="N40" i="9" s="1"/>
  <c r="L23" i="17"/>
  <c r="K32" i="5"/>
  <c r="K12" i="6"/>
  <c r="M13" i="5"/>
  <c r="M11" i="5"/>
  <c r="L22" i="17"/>
  <c r="L55" i="5" s="1"/>
  <c r="L28" i="17"/>
  <c r="L26" i="6" s="1"/>
  <c r="L18" i="17"/>
  <c r="L27" i="5" s="1"/>
  <c r="L44" i="5" s="1"/>
  <c r="O8" i="17"/>
  <c r="O14" i="17" s="1"/>
  <c r="O8" i="9"/>
  <c r="O8" i="7"/>
  <c r="O8" i="8"/>
  <c r="O6" i="4"/>
  <c r="O8" i="5"/>
  <c r="O8" i="6"/>
  <c r="O9" i="4"/>
  <c r="O10" i="9" s="1"/>
  <c r="O7" i="4"/>
  <c r="P8" i="4"/>
  <c r="O5" i="4"/>
  <c r="K14" i="9"/>
  <c r="K23" i="9" s="1"/>
  <c r="K15" i="5"/>
  <c r="K16" i="5" s="1"/>
  <c r="K10" i="6"/>
  <c r="K42" i="5"/>
  <c r="N55" i="17"/>
  <c r="N17" i="7" s="1"/>
  <c r="N37" i="9" s="1"/>
  <c r="N60" i="17"/>
  <c r="N33" i="7" s="1"/>
  <c r="N65" i="17"/>
  <c r="N48" i="17"/>
  <c r="N28" i="8" s="1"/>
  <c r="N53" i="17"/>
  <c r="N14" i="7" s="1"/>
  <c r="N58" i="17"/>
  <c r="N19" i="7" s="1"/>
  <c r="N63" i="17"/>
  <c r="N74" i="17"/>
  <c r="N64" i="5" s="1"/>
  <c r="N51" i="17"/>
  <c r="N12" i="7" s="1"/>
  <c r="N16" i="9" s="1"/>
  <c r="N56" i="17"/>
  <c r="N61" i="17"/>
  <c r="N23" i="7" s="1"/>
  <c r="N49" i="17"/>
  <c r="N10" i="7" s="1"/>
  <c r="N54" i="17"/>
  <c r="N59" i="17"/>
  <c r="N64" i="17"/>
  <c r="N52" i="17"/>
  <c r="N13" i="7" s="1"/>
  <c r="N18" i="9" s="1"/>
  <c r="N31" i="9" s="1"/>
  <c r="N57" i="17"/>
  <c r="N62" i="17"/>
  <c r="N24" i="7" s="1"/>
  <c r="N24" i="9" s="1"/>
  <c r="N67" i="17"/>
  <c r="N73" i="17"/>
  <c r="N10" i="5" s="1"/>
  <c r="N12" i="5" s="1"/>
  <c r="N39" i="6" s="1"/>
  <c r="N50" i="17"/>
  <c r="N11" i="7" s="1"/>
  <c r="N47" i="9" s="1"/>
  <c r="O45" i="9" s="1"/>
  <c r="N66" i="17"/>
  <c r="N29" i="7" s="1"/>
  <c r="N56" i="9" s="1"/>
  <c r="M71" i="17"/>
  <c r="M27" i="7" s="1"/>
  <c r="M35" i="7"/>
  <c r="I29" i="6"/>
  <c r="I21" i="6"/>
  <c r="M69" i="17"/>
  <c r="M20" i="7" s="1"/>
  <c r="M28" i="9" s="1"/>
  <c r="M31" i="9"/>
  <c r="L30" i="17"/>
  <c r="K28" i="5"/>
  <c r="K29" i="5" s="1"/>
  <c r="K30" i="5" s="1"/>
  <c r="I15" i="9"/>
  <c r="I19" i="9"/>
  <c r="I27" i="9"/>
  <c r="N7" i="17"/>
  <c r="N7" i="9"/>
  <c r="N7" i="8"/>
  <c r="N7" i="6"/>
  <c r="N4" i="4"/>
  <c r="N7" i="7"/>
  <c r="N7" i="5"/>
  <c r="K22" i="5"/>
  <c r="M22" i="9"/>
  <c r="M26" i="7"/>
  <c r="M68" i="17"/>
  <c r="M15" i="7" s="1"/>
  <c r="M20" i="9" s="1"/>
  <c r="L25" i="17"/>
  <c r="L23" i="6" s="1"/>
  <c r="M22" i="17" l="1"/>
  <c r="M55" i="5" s="1"/>
  <c r="M41" i="9" s="1"/>
  <c r="K17" i="6"/>
  <c r="K19" i="6" s="1"/>
  <c r="K12" i="9" s="1"/>
  <c r="K21" i="9" s="1"/>
  <c r="K18" i="8"/>
  <c r="L15" i="5"/>
  <c r="L16" i="5" s="1"/>
  <c r="L14" i="9"/>
  <c r="L23" i="9" s="1"/>
  <c r="L42" i="5"/>
  <c r="K51" i="5"/>
  <c r="K52" i="5" s="1"/>
  <c r="M20" i="17"/>
  <c r="M41" i="5" s="1"/>
  <c r="M15" i="6" s="1"/>
  <c r="M32" i="17"/>
  <c r="M28" i="7"/>
  <c r="J20" i="6"/>
  <c r="L30" i="7"/>
  <c r="K49" i="5"/>
  <c r="L17" i="8"/>
  <c r="L21" i="8"/>
  <c r="L37" i="17"/>
  <c r="L32" i="6" s="1"/>
  <c r="J25" i="9"/>
  <c r="N18" i="7"/>
  <c r="N42" i="9" s="1"/>
  <c r="O40" i="9" s="1"/>
  <c r="L40" i="5"/>
  <c r="L15" i="6"/>
  <c r="M17" i="17"/>
  <c r="M17" i="5" s="1"/>
  <c r="M40" i="5" s="1"/>
  <c r="K13" i="6"/>
  <c r="K11" i="9" s="1"/>
  <c r="E32" i="8"/>
  <c r="E25" i="8"/>
  <c r="E26" i="8" s="1"/>
  <c r="E27" i="8" s="1"/>
  <c r="M11" i="6"/>
  <c r="J29" i="6"/>
  <c r="J21" i="6"/>
  <c r="N69" i="17"/>
  <c r="N20" i="7" s="1"/>
  <c r="N28" i="9" s="1"/>
  <c r="M24" i="17"/>
  <c r="M19" i="17"/>
  <c r="M29" i="17"/>
  <c r="L48" i="5"/>
  <c r="M26" i="17"/>
  <c r="M24" i="6" s="1"/>
  <c r="L43" i="6"/>
  <c r="L45" i="6" s="1"/>
  <c r="L40" i="6"/>
  <c r="N10" i="17"/>
  <c r="N11" i="17"/>
  <c r="N9" i="17"/>
  <c r="N25" i="17" s="1"/>
  <c r="N23" i="6" s="1"/>
  <c r="M34" i="17"/>
  <c r="N12" i="17"/>
  <c r="N13" i="17"/>
  <c r="M16" i="7"/>
  <c r="M21" i="7" s="1"/>
  <c r="M31" i="17"/>
  <c r="M31" i="6" s="1"/>
  <c r="M49" i="9" s="1"/>
  <c r="N70" i="17"/>
  <c r="N25" i="7" s="1"/>
  <c r="N26" i="9" s="1"/>
  <c r="M21" i="17"/>
  <c r="M43" i="5" s="1"/>
  <c r="F10" i="8"/>
  <c r="F52" i="9"/>
  <c r="F55" i="9" s="1"/>
  <c r="F36" i="6"/>
  <c r="H30" i="6"/>
  <c r="H52" i="6"/>
  <c r="H33" i="6"/>
  <c r="H35" i="6" s="1"/>
  <c r="O60" i="17"/>
  <c r="O33" i="7" s="1"/>
  <c r="O65" i="17"/>
  <c r="O48" i="17"/>
  <c r="O28" i="8" s="1"/>
  <c r="O53" i="17"/>
  <c r="O14" i="7" s="1"/>
  <c r="O58" i="17"/>
  <c r="O19" i="7" s="1"/>
  <c r="O63" i="17"/>
  <c r="O74" i="17"/>
  <c r="O64" i="5" s="1"/>
  <c r="O51" i="17"/>
  <c r="O12" i="7" s="1"/>
  <c r="O16" i="9" s="1"/>
  <c r="O56" i="17"/>
  <c r="O61" i="17"/>
  <c r="O23" i="7" s="1"/>
  <c r="O66" i="17"/>
  <c r="O29" i="7" s="1"/>
  <c r="O56" i="9" s="1"/>
  <c r="O49" i="17"/>
  <c r="O10" i="7" s="1"/>
  <c r="O54" i="17"/>
  <c r="O59" i="17"/>
  <c r="O64" i="17"/>
  <c r="O52" i="17"/>
  <c r="O13" i="7" s="1"/>
  <c r="O18" i="9" s="1"/>
  <c r="O31" i="9" s="1"/>
  <c r="O57" i="17"/>
  <c r="O62" i="17"/>
  <c r="O24" i="7" s="1"/>
  <c r="O24" i="9" s="1"/>
  <c r="O67" i="17"/>
  <c r="O73" i="17"/>
  <c r="O10" i="5" s="1"/>
  <c r="O12" i="5" s="1"/>
  <c r="O39" i="6" s="1"/>
  <c r="O50" i="17"/>
  <c r="O11" i="7" s="1"/>
  <c r="O47" i="9" s="1"/>
  <c r="P45" i="9" s="1"/>
  <c r="O55" i="17"/>
  <c r="O17" i="7" s="1"/>
  <c r="O37" i="9" s="1"/>
  <c r="L53" i="9"/>
  <c r="L12" i="8"/>
  <c r="O48" i="9"/>
  <c r="N29" i="8"/>
  <c r="O6" i="17"/>
  <c r="O6" i="9"/>
  <c r="O6" i="8"/>
  <c r="O6" i="5"/>
  <c r="O6" i="7"/>
  <c r="O6" i="6"/>
  <c r="J15" i="9"/>
  <c r="J27" i="9"/>
  <c r="J19" i="9"/>
  <c r="M30" i="7"/>
  <c r="M36" i="7"/>
  <c r="L32" i="7"/>
  <c r="L34" i="7"/>
  <c r="M83" i="17"/>
  <c r="M42" i="6" s="1"/>
  <c r="M76" i="17"/>
  <c r="M81" i="17"/>
  <c r="M38" i="6" s="1"/>
  <c r="M79" i="17"/>
  <c r="M84" i="17"/>
  <c r="M47" i="5" s="1"/>
  <c r="M77" i="17"/>
  <c r="M33" i="8" s="1"/>
  <c r="M82" i="17"/>
  <c r="M41" i="6" s="1"/>
  <c r="M75" i="17"/>
  <c r="M23" i="5" s="1"/>
  <c r="M19" i="5" s="1"/>
  <c r="M20" i="5" s="1"/>
  <c r="M80" i="17"/>
  <c r="M85" i="17"/>
  <c r="M21" i="5" s="1"/>
  <c r="M78" i="17"/>
  <c r="L54" i="9"/>
  <c r="L20" i="8"/>
  <c r="N71" i="17"/>
  <c r="N27" i="7" s="1"/>
  <c r="N35" i="7"/>
  <c r="F53" i="6"/>
  <c r="M23" i="17"/>
  <c r="L28" i="5"/>
  <c r="L29" i="5" s="1"/>
  <c r="L30" i="5" s="1"/>
  <c r="L22" i="5"/>
  <c r="L32" i="9"/>
  <c r="K37" i="5"/>
  <c r="K38" i="5"/>
  <c r="K54" i="5"/>
  <c r="K39" i="9"/>
  <c r="K43" i="9"/>
  <c r="M33" i="17"/>
  <c r="M34" i="6" s="1"/>
  <c r="M28" i="17"/>
  <c r="M26" i="6" s="1"/>
  <c r="O51" i="9"/>
  <c r="P8" i="9"/>
  <c r="P8" i="17"/>
  <c r="P14" i="17" s="1"/>
  <c r="P8" i="8"/>
  <c r="Q8" i="4"/>
  <c r="P8" i="7"/>
  <c r="P6" i="4"/>
  <c r="P8" i="6"/>
  <c r="P9" i="4"/>
  <c r="P10" i="9" s="1"/>
  <c r="P7" i="4"/>
  <c r="P8" i="5"/>
  <c r="P5" i="4"/>
  <c r="K38" i="9"/>
  <c r="J57" i="6"/>
  <c r="E70" i="2"/>
  <c r="N68" i="17"/>
  <c r="N15" i="7" s="1"/>
  <c r="N20" i="9" s="1"/>
  <c r="L35" i="17"/>
  <c r="L34" i="5" s="1"/>
  <c r="L36" i="17"/>
  <c r="L50" i="5" s="1"/>
  <c r="O5" i="17"/>
  <c r="O5" i="9"/>
  <c r="O5" i="7"/>
  <c r="O5" i="5"/>
  <c r="O5" i="8"/>
  <c r="O5" i="6"/>
  <c r="O10" i="4"/>
  <c r="O11" i="4" s="1"/>
  <c r="N4" i="17"/>
  <c r="N4" i="9"/>
  <c r="N4" i="7"/>
  <c r="N4" i="5"/>
  <c r="N4" i="8"/>
  <c r="N4" i="6"/>
  <c r="I69" i="2"/>
  <c r="O7" i="17"/>
  <c r="O7" i="9"/>
  <c r="O7" i="8"/>
  <c r="O7" i="6"/>
  <c r="O7" i="7"/>
  <c r="O4" i="4"/>
  <c r="O7" i="5"/>
  <c r="M42" i="17"/>
  <c r="M40" i="17"/>
  <c r="M51" i="6" s="1"/>
  <c r="M45" i="17"/>
  <c r="M43" i="17"/>
  <c r="M41" i="17"/>
  <c r="M46" i="17"/>
  <c r="M23" i="8" s="1"/>
  <c r="M39" i="17"/>
  <c r="M44" i="17"/>
  <c r="N22" i="9"/>
  <c r="L41" i="9"/>
  <c r="L36" i="9" s="1"/>
  <c r="L18" i="6"/>
  <c r="L50" i="6"/>
  <c r="L11" i="8" s="1"/>
  <c r="G10" i="8"/>
  <c r="G52" i="9"/>
  <c r="G55" i="9" s="1"/>
  <c r="G36" i="6"/>
  <c r="L35" i="9"/>
  <c r="L16" i="8"/>
  <c r="N13" i="5"/>
  <c r="N11" i="5"/>
  <c r="M30" i="17"/>
  <c r="K45" i="6"/>
  <c r="L24" i="5"/>
  <c r="L25" i="5" s="1"/>
  <c r="L26" i="5" s="1"/>
  <c r="L11" i="6"/>
  <c r="L45" i="5"/>
  <c r="L46" i="5" s="1"/>
  <c r="L27" i="6"/>
  <c r="O34" i="9"/>
  <c r="K56" i="5"/>
  <c r="K58" i="5"/>
  <c r="M29" i="9"/>
  <c r="M30" i="9" s="1"/>
  <c r="M32" i="9" s="1"/>
  <c r="G53" i="6"/>
  <c r="G54" i="6" s="1"/>
  <c r="G55" i="6" s="1"/>
  <c r="I30" i="6"/>
  <c r="I52" i="6"/>
  <c r="I33" i="6"/>
  <c r="I35" i="6" s="1"/>
  <c r="M27" i="17"/>
  <c r="M25" i="6" s="1"/>
  <c r="M25" i="17"/>
  <c r="M23" i="6" s="1"/>
  <c r="L18" i="8" l="1"/>
  <c r="K53" i="5"/>
  <c r="K25" i="9"/>
  <c r="M18" i="6"/>
  <c r="L38" i="9"/>
  <c r="K20" i="6"/>
  <c r="K29" i="6" s="1"/>
  <c r="L22" i="8"/>
  <c r="M35" i="17"/>
  <c r="M34" i="5" s="1"/>
  <c r="M12" i="6" s="1"/>
  <c r="M15" i="5"/>
  <c r="M16" i="5" s="1"/>
  <c r="M10" i="6"/>
  <c r="M42" i="5"/>
  <c r="M17" i="8"/>
  <c r="L58" i="5"/>
  <c r="L60" i="5" s="1"/>
  <c r="M14" i="9"/>
  <c r="M23" i="9" s="1"/>
  <c r="O18" i="7"/>
  <c r="O42" i="9" s="1"/>
  <c r="P40" i="9" s="1"/>
  <c r="M37" i="17"/>
  <c r="M32" i="6" s="1"/>
  <c r="N32" i="17"/>
  <c r="M22" i="5"/>
  <c r="N26" i="7"/>
  <c r="N28" i="7" s="1"/>
  <c r="N30" i="7" s="1"/>
  <c r="M36" i="17"/>
  <c r="M50" i="5" s="1"/>
  <c r="M17" i="6" s="1"/>
  <c r="N16" i="7"/>
  <c r="N21" i="7" s="1"/>
  <c r="M27" i="6"/>
  <c r="M40" i="6"/>
  <c r="M43" i="6"/>
  <c r="M45" i="6" s="1"/>
  <c r="H53" i="6"/>
  <c r="H54" i="6" s="1"/>
  <c r="H55" i="6" s="1"/>
  <c r="N28" i="17"/>
  <c r="N26" i="6" s="1"/>
  <c r="L39" i="9"/>
  <c r="L43" i="9"/>
  <c r="N18" i="17"/>
  <c r="N27" i="5" s="1"/>
  <c r="L13" i="9"/>
  <c r="L17" i="9" s="1"/>
  <c r="L49" i="5"/>
  <c r="L17" i="6"/>
  <c r="L19" i="6" s="1"/>
  <c r="L12" i="9" s="1"/>
  <c r="N30" i="17"/>
  <c r="N23" i="17"/>
  <c r="N76" i="17"/>
  <c r="N81" i="17"/>
  <c r="N38" i="6" s="1"/>
  <c r="N79" i="17"/>
  <c r="N84" i="17"/>
  <c r="N47" i="5" s="1"/>
  <c r="N77" i="17"/>
  <c r="N33" i="8" s="1"/>
  <c r="N82" i="17"/>
  <c r="N41" i="6" s="1"/>
  <c r="N75" i="17"/>
  <c r="N23" i="5" s="1"/>
  <c r="N19" i="5" s="1"/>
  <c r="N20" i="5" s="1"/>
  <c r="N80" i="17"/>
  <c r="N85" i="17"/>
  <c r="N21" i="5" s="1"/>
  <c r="N78" i="17"/>
  <c r="N83" i="17"/>
  <c r="N42" i="6" s="1"/>
  <c r="M48" i="5"/>
  <c r="N34" i="17"/>
  <c r="O71" i="17"/>
  <c r="O27" i="7" s="1"/>
  <c r="O35" i="7"/>
  <c r="N26" i="17"/>
  <c r="N24" i="6" s="1"/>
  <c r="M54" i="9"/>
  <c r="M20" i="8"/>
  <c r="N42" i="17"/>
  <c r="N40" i="17"/>
  <c r="N51" i="6" s="1"/>
  <c r="N45" i="17"/>
  <c r="N43" i="17"/>
  <c r="N41" i="17"/>
  <c r="N46" i="17"/>
  <c r="N23" i="8" s="1"/>
  <c r="N39" i="17"/>
  <c r="N44" i="17"/>
  <c r="O69" i="17"/>
  <c r="O20" i="7" s="1"/>
  <c r="O28" i="9" s="1"/>
  <c r="N21" i="17"/>
  <c r="N43" i="5" s="1"/>
  <c r="M24" i="5"/>
  <c r="M25" i="5" s="1"/>
  <c r="M26" i="5" s="1"/>
  <c r="M13" i="9"/>
  <c r="M17" i="9" s="1"/>
  <c r="M16" i="6"/>
  <c r="M44" i="5"/>
  <c r="M28" i="5"/>
  <c r="M29" i="5" s="1"/>
  <c r="M30" i="5" s="1"/>
  <c r="O68" i="17"/>
  <c r="O15" i="7" s="1"/>
  <c r="O20" i="9" s="1"/>
  <c r="P48" i="9"/>
  <c r="O29" i="8"/>
  <c r="J30" i="6"/>
  <c r="J52" i="6"/>
  <c r="J33" i="6"/>
  <c r="J35" i="6" s="1"/>
  <c r="N17" i="17"/>
  <c r="N17" i="5" s="1"/>
  <c r="N19" i="17"/>
  <c r="P65" i="17"/>
  <c r="P48" i="17"/>
  <c r="P28" i="8" s="1"/>
  <c r="P53" i="17"/>
  <c r="P14" i="7" s="1"/>
  <c r="P58" i="17"/>
  <c r="P19" i="7" s="1"/>
  <c r="P63" i="17"/>
  <c r="P74" i="17"/>
  <c r="P64" i="5" s="1"/>
  <c r="P51" i="17"/>
  <c r="P12" i="7" s="1"/>
  <c r="P16" i="9" s="1"/>
  <c r="P56" i="17"/>
  <c r="P61" i="17"/>
  <c r="P23" i="7" s="1"/>
  <c r="P66" i="17"/>
  <c r="P29" i="7" s="1"/>
  <c r="P56" i="9" s="1"/>
  <c r="P49" i="17"/>
  <c r="P10" i="7" s="1"/>
  <c r="P54" i="17"/>
  <c r="P59" i="17"/>
  <c r="P64" i="17"/>
  <c r="P52" i="17"/>
  <c r="P13" i="7" s="1"/>
  <c r="P18" i="9" s="1"/>
  <c r="P31" i="9" s="1"/>
  <c r="P57" i="17"/>
  <c r="P62" i="17"/>
  <c r="P24" i="7" s="1"/>
  <c r="P24" i="9" s="1"/>
  <c r="P67" i="17"/>
  <c r="P73" i="17"/>
  <c r="P10" i="5" s="1"/>
  <c r="P50" i="17"/>
  <c r="P11" i="7" s="1"/>
  <c r="P47" i="9" s="1"/>
  <c r="Q45" i="9" s="1"/>
  <c r="P55" i="17"/>
  <c r="P17" i="7" s="1"/>
  <c r="P37" i="9" s="1"/>
  <c r="P60" i="17"/>
  <c r="P33" i="7" s="1"/>
  <c r="P34" i="9"/>
  <c r="M16" i="8"/>
  <c r="M35" i="9"/>
  <c r="P7" i="17"/>
  <c r="P7" i="9"/>
  <c r="P7" i="8"/>
  <c r="P7" i="6"/>
  <c r="P7" i="7"/>
  <c r="P4" i="4"/>
  <c r="P7" i="5"/>
  <c r="P51" i="9"/>
  <c r="O10" i="17"/>
  <c r="O11" i="17"/>
  <c r="O9" i="17"/>
  <c r="O19" i="17" s="1"/>
  <c r="O22" i="9"/>
  <c r="O26" i="7"/>
  <c r="M32" i="7"/>
  <c r="M34" i="7"/>
  <c r="H10" i="8"/>
  <c r="H52" i="9"/>
  <c r="H55" i="9" s="1"/>
  <c r="H36" i="6"/>
  <c r="L61" i="5"/>
  <c r="L59" i="5"/>
  <c r="L63" i="5"/>
  <c r="M36" i="5"/>
  <c r="F13" i="8"/>
  <c r="F14" i="8" s="1"/>
  <c r="M36" i="9"/>
  <c r="M50" i="6"/>
  <c r="M11" i="8" s="1"/>
  <c r="M12" i="8"/>
  <c r="M53" i="9"/>
  <c r="P6" i="17"/>
  <c r="P6" i="9"/>
  <c r="P6" i="8"/>
  <c r="P6" i="5"/>
  <c r="P6" i="6"/>
  <c r="P6" i="7"/>
  <c r="N29" i="9"/>
  <c r="N30" i="9" s="1"/>
  <c r="N20" i="17"/>
  <c r="N41" i="5" s="1"/>
  <c r="N27" i="17"/>
  <c r="N25" i="6" s="1"/>
  <c r="N29" i="17"/>
  <c r="M21" i="8"/>
  <c r="N31" i="17"/>
  <c r="N31" i="6" s="1"/>
  <c r="N49" i="9" s="1"/>
  <c r="E30" i="8"/>
  <c r="F26" i="8"/>
  <c r="N33" i="17"/>
  <c r="N34" i="6" s="1"/>
  <c r="I10" i="8"/>
  <c r="I52" i="9"/>
  <c r="I55" i="9" s="1"/>
  <c r="I36" i="6"/>
  <c r="O13" i="5"/>
  <c r="O11" i="5"/>
  <c r="N24" i="17"/>
  <c r="O4" i="17"/>
  <c r="O4" i="9"/>
  <c r="O4" i="5"/>
  <c r="O4" i="8"/>
  <c r="O4" i="7"/>
  <c r="O4" i="6"/>
  <c r="J69" i="2"/>
  <c r="P5" i="17"/>
  <c r="P5" i="7"/>
  <c r="P5" i="9"/>
  <c r="P5" i="8"/>
  <c r="P5" i="5"/>
  <c r="P5" i="6"/>
  <c r="P10" i="4"/>
  <c r="P11" i="4" s="1"/>
  <c r="F54" i="6"/>
  <c r="Q8" i="17"/>
  <c r="Q14" i="17" s="1"/>
  <c r="Q8" i="9"/>
  <c r="R8" i="4"/>
  <c r="Q8" i="6"/>
  <c r="Q8" i="7"/>
  <c r="Q6" i="4"/>
  <c r="Q7" i="4"/>
  <c r="Q8" i="5"/>
  <c r="Q8" i="8"/>
  <c r="Q9" i="4"/>
  <c r="Q10" i="9" s="1"/>
  <c r="Q5" i="4"/>
  <c r="E34" i="8"/>
  <c r="E35" i="8"/>
  <c r="G13" i="8"/>
  <c r="G14" i="8" s="1"/>
  <c r="K15" i="9"/>
  <c r="K19" i="9"/>
  <c r="K27" i="9"/>
  <c r="N22" i="17"/>
  <c r="N55" i="5" s="1"/>
  <c r="I53" i="6"/>
  <c r="I54" i="6" s="1"/>
  <c r="L32" i="5"/>
  <c r="L51" i="5"/>
  <c r="L12" i="6"/>
  <c r="L13" i="6" s="1"/>
  <c r="L36" i="5"/>
  <c r="K63" i="5"/>
  <c r="K59" i="5"/>
  <c r="K28" i="6"/>
  <c r="K60" i="5"/>
  <c r="K61" i="5" s="1"/>
  <c r="M45" i="5"/>
  <c r="M46" i="5" s="1"/>
  <c r="O12" i="17"/>
  <c r="O13" i="17"/>
  <c r="O70" i="17"/>
  <c r="O25" i="7" s="1"/>
  <c r="O26" i="9" s="1"/>
  <c r="L28" i="6" l="1"/>
  <c r="M32" i="5"/>
  <c r="M51" i="5"/>
  <c r="M13" i="6"/>
  <c r="M49" i="5"/>
  <c r="O21" i="17"/>
  <c r="O43" i="5" s="1"/>
  <c r="O16" i="6" s="1"/>
  <c r="K21" i="6"/>
  <c r="M18" i="8"/>
  <c r="N36" i="7"/>
  <c r="M38" i="9"/>
  <c r="O16" i="7"/>
  <c r="O21" i="7" s="1"/>
  <c r="O29" i="9"/>
  <c r="M19" i="6"/>
  <c r="M12" i="9" s="1"/>
  <c r="M25" i="9" s="1"/>
  <c r="M56" i="5"/>
  <c r="N37" i="17"/>
  <c r="N32" i="6" s="1"/>
  <c r="M58" i="5"/>
  <c r="M60" i="5" s="1"/>
  <c r="M61" i="5" s="1"/>
  <c r="N36" i="17"/>
  <c r="N50" i="5" s="1"/>
  <c r="N22" i="5"/>
  <c r="O31" i="17"/>
  <c r="O31" i="6" s="1"/>
  <c r="O49" i="9" s="1"/>
  <c r="O26" i="17"/>
  <c r="O24" i="6" s="1"/>
  <c r="F70" i="2"/>
  <c r="K57" i="6"/>
  <c r="K44" i="6"/>
  <c r="I58" i="6"/>
  <c r="I56" i="6"/>
  <c r="D71" i="2"/>
  <c r="I55" i="6"/>
  <c r="L11" i="9"/>
  <c r="L20" i="6"/>
  <c r="G25" i="8"/>
  <c r="G32" i="8"/>
  <c r="M11" i="9"/>
  <c r="N44" i="5"/>
  <c r="N16" i="6"/>
  <c r="N28" i="5"/>
  <c r="N29" i="5" s="1"/>
  <c r="N30" i="5" s="1"/>
  <c r="L54" i="5"/>
  <c r="L56" i="5"/>
  <c r="L52" i="5"/>
  <c r="L53" i="5" s="1"/>
  <c r="L57" i="6" s="1"/>
  <c r="N17" i="8"/>
  <c r="L25" i="9"/>
  <c r="L21" i="9"/>
  <c r="O28" i="7"/>
  <c r="N21" i="8"/>
  <c r="N24" i="5"/>
  <c r="N25" i="5" s="1"/>
  <c r="N26" i="5" s="1"/>
  <c r="N11" i="6"/>
  <c r="N45" i="5"/>
  <c r="N46" i="5" s="1"/>
  <c r="O76" i="17"/>
  <c r="O81" i="17"/>
  <c r="O38" i="6" s="1"/>
  <c r="O79" i="17"/>
  <c r="O84" i="17"/>
  <c r="O47" i="5" s="1"/>
  <c r="O77" i="17"/>
  <c r="O33" i="8" s="1"/>
  <c r="O82" i="17"/>
  <c r="O41" i="6" s="1"/>
  <c r="O75" i="17"/>
  <c r="O23" i="5" s="1"/>
  <c r="O19" i="5" s="1"/>
  <c r="O20" i="5" s="1"/>
  <c r="O80" i="17"/>
  <c r="O85" i="17"/>
  <c r="O21" i="5" s="1"/>
  <c r="O78" i="17"/>
  <c r="O83" i="17"/>
  <c r="O42" i="6" s="1"/>
  <c r="F25" i="8"/>
  <c r="F27" i="8" s="1"/>
  <c r="F32" i="8"/>
  <c r="N41" i="9"/>
  <c r="N36" i="9" s="1"/>
  <c r="N18" i="6"/>
  <c r="N50" i="6"/>
  <c r="N11" i="8" s="1"/>
  <c r="M22" i="8"/>
  <c r="P22" i="9"/>
  <c r="G70" i="2"/>
  <c r="M52" i="5"/>
  <c r="M53" i="5" s="1"/>
  <c r="H13" i="8"/>
  <c r="H14" i="8" s="1"/>
  <c r="N40" i="5"/>
  <c r="N15" i="6"/>
  <c r="N32" i="7"/>
  <c r="N34" i="7"/>
  <c r="J10" i="8"/>
  <c r="J52" i="9"/>
  <c r="J55" i="9" s="1"/>
  <c r="J36" i="6"/>
  <c r="O30" i="17"/>
  <c r="O32" i="17"/>
  <c r="O27" i="17"/>
  <c r="O25" i="6" s="1"/>
  <c r="Q5" i="17"/>
  <c r="Q5" i="7"/>
  <c r="Q5" i="9"/>
  <c r="Q5" i="8"/>
  <c r="Q5" i="5"/>
  <c r="Q5" i="6"/>
  <c r="Q10" i="4"/>
  <c r="Q11" i="4" s="1"/>
  <c r="P12" i="17"/>
  <c r="P13" i="17"/>
  <c r="O22" i="17"/>
  <c r="O55" i="5" s="1"/>
  <c r="N13" i="9"/>
  <c r="N17" i="9" s="1"/>
  <c r="N49" i="5"/>
  <c r="N17" i="6"/>
  <c r="O30" i="9"/>
  <c r="O32" i="9" s="1"/>
  <c r="N16" i="8"/>
  <c r="N35" i="9"/>
  <c r="O23" i="17"/>
  <c r="O18" i="17"/>
  <c r="O27" i="5" s="1"/>
  <c r="P13" i="5"/>
  <c r="P11" i="5"/>
  <c r="P12" i="5"/>
  <c r="P39" i="6" s="1"/>
  <c r="O17" i="17"/>
  <c r="O17" i="5" s="1"/>
  <c r="P71" i="17"/>
  <c r="P27" i="7" s="1"/>
  <c r="P35" i="7"/>
  <c r="P70" i="17"/>
  <c r="P25" i="7" s="1"/>
  <c r="P26" i="9" s="1"/>
  <c r="L44" i="6"/>
  <c r="O42" i="17"/>
  <c r="O40" i="17"/>
  <c r="O51" i="6" s="1"/>
  <c r="O45" i="17"/>
  <c r="O43" i="17"/>
  <c r="O41" i="17"/>
  <c r="O46" i="17"/>
  <c r="O23" i="8" s="1"/>
  <c r="O39" i="17"/>
  <c r="O44" i="17"/>
  <c r="P69" i="17"/>
  <c r="P20" i="7" s="1"/>
  <c r="P28" i="9" s="1"/>
  <c r="N48" i="5"/>
  <c r="Q48" i="17"/>
  <c r="Q28" i="8" s="1"/>
  <c r="Q53" i="17"/>
  <c r="Q14" i="7" s="1"/>
  <c r="Q58" i="17"/>
  <c r="Q19" i="7" s="1"/>
  <c r="Q63" i="17"/>
  <c r="Q74" i="17"/>
  <c r="Q64" i="5" s="1"/>
  <c r="Q51" i="17"/>
  <c r="Q12" i="7" s="1"/>
  <c r="Q16" i="9" s="1"/>
  <c r="Q56" i="17"/>
  <c r="Q61" i="17"/>
  <c r="Q23" i="7" s="1"/>
  <c r="Q66" i="17"/>
  <c r="Q29" i="7" s="1"/>
  <c r="Q56" i="9" s="1"/>
  <c r="Q54" i="17"/>
  <c r="Q59" i="17"/>
  <c r="Q64" i="17"/>
  <c r="Q52" i="17"/>
  <c r="Q13" i="7" s="1"/>
  <c r="Q18" i="9" s="1"/>
  <c r="Q57" i="17"/>
  <c r="Q62" i="17"/>
  <c r="Q24" i="7" s="1"/>
  <c r="Q24" i="9" s="1"/>
  <c r="Q67" i="17"/>
  <c r="Q73" i="17"/>
  <c r="Q10" i="5" s="1"/>
  <c r="Q12" i="5" s="1"/>
  <c r="Q39" i="6" s="1"/>
  <c r="Q50" i="17"/>
  <c r="Q11" i="7" s="1"/>
  <c r="Q47" i="9" s="1"/>
  <c r="R45" i="9" s="1"/>
  <c r="Q55" i="17"/>
  <c r="Q17" i="7" s="1"/>
  <c r="Q37" i="9" s="1"/>
  <c r="Q60" i="17"/>
  <c r="Q33" i="7" s="1"/>
  <c r="Q65" i="17"/>
  <c r="Q49" i="17"/>
  <c r="Q10" i="7" s="1"/>
  <c r="M54" i="5"/>
  <c r="P10" i="17"/>
  <c r="P11" i="17"/>
  <c r="P9" i="17"/>
  <c r="P31" i="17" s="1"/>
  <c r="P31" i="6" s="1"/>
  <c r="P49" i="9" s="1"/>
  <c r="N35" i="17"/>
  <c r="N34" i="5" s="1"/>
  <c r="N36" i="5" s="1"/>
  <c r="N37" i="5" s="1"/>
  <c r="N42" i="5"/>
  <c r="N15" i="5"/>
  <c r="N16" i="5" s="1"/>
  <c r="N14" i="9"/>
  <c r="N23" i="9" s="1"/>
  <c r="N10" i="6"/>
  <c r="M28" i="6"/>
  <c r="P18" i="7"/>
  <c r="P42" i="9" s="1"/>
  <c r="Q40" i="9" s="1"/>
  <c r="O34" i="17"/>
  <c r="P68" i="17"/>
  <c r="P15" i="7" s="1"/>
  <c r="P20" i="9" s="1"/>
  <c r="N54" i="9"/>
  <c r="N20" i="8"/>
  <c r="P4" i="17"/>
  <c r="P4" i="9"/>
  <c r="P4" i="8"/>
  <c r="P4" i="7"/>
  <c r="P4" i="6"/>
  <c r="K69" i="2"/>
  <c r="P4" i="5"/>
  <c r="L37" i="5"/>
  <c r="L38" i="5"/>
  <c r="O28" i="17"/>
  <c r="O26" i="6" s="1"/>
  <c r="Q34" i="9"/>
  <c r="J53" i="6"/>
  <c r="J54" i="6" s="1"/>
  <c r="Q7" i="17"/>
  <c r="Q7" i="9"/>
  <c r="Q7" i="8"/>
  <c r="Q7" i="7"/>
  <c r="Q7" i="6"/>
  <c r="Q4" i="4"/>
  <c r="Q7" i="5"/>
  <c r="I13" i="8"/>
  <c r="I14" i="8" s="1"/>
  <c r="M39" i="9"/>
  <c r="M43" i="9"/>
  <c r="O29" i="17"/>
  <c r="Q48" i="9"/>
  <c r="P29" i="8"/>
  <c r="N40" i="6"/>
  <c r="N43" i="6"/>
  <c r="N45" i="6" s="1"/>
  <c r="N27" i="6"/>
  <c r="K30" i="6"/>
  <c r="K33" i="6"/>
  <c r="K35" i="6" s="1"/>
  <c r="K52" i="6"/>
  <c r="M37" i="5"/>
  <c r="M38" i="5"/>
  <c r="R8" i="17"/>
  <c r="R14" i="17" s="1"/>
  <c r="R8" i="9"/>
  <c r="S8" i="4"/>
  <c r="R9" i="4"/>
  <c r="R10" i="9" s="1"/>
  <c r="R7" i="4"/>
  <c r="R8" i="7"/>
  <c r="R8" i="5"/>
  <c r="R5" i="4"/>
  <c r="R6" i="4"/>
  <c r="R8" i="8"/>
  <c r="R8" i="6"/>
  <c r="F55" i="6"/>
  <c r="N12" i="8"/>
  <c r="N53" i="9"/>
  <c r="O33" i="17"/>
  <c r="O34" i="6" s="1"/>
  <c r="O25" i="17"/>
  <c r="O23" i="6" s="1"/>
  <c r="N32" i="9"/>
  <c r="O20" i="17"/>
  <c r="O41" i="5" s="1"/>
  <c r="Q6" i="17"/>
  <c r="Q6" i="7"/>
  <c r="Q6" i="8"/>
  <c r="Q6" i="5"/>
  <c r="Q6" i="6"/>
  <c r="Q6" i="9"/>
  <c r="O24" i="17"/>
  <c r="Q51" i="9"/>
  <c r="M20" i="6" l="1"/>
  <c r="M63" i="5"/>
  <c r="M59" i="5"/>
  <c r="O44" i="5"/>
  <c r="P26" i="17"/>
  <c r="P24" i="6" s="1"/>
  <c r="M21" i="9"/>
  <c r="P21" i="17"/>
  <c r="P43" i="5" s="1"/>
  <c r="P29" i="9"/>
  <c r="P30" i="9" s="1"/>
  <c r="Q18" i="7"/>
  <c r="Q42" i="9" s="1"/>
  <c r="R40" i="9" s="1"/>
  <c r="N22" i="8"/>
  <c r="O36" i="17"/>
  <c r="O50" i="5" s="1"/>
  <c r="O49" i="5" s="1"/>
  <c r="P26" i="7"/>
  <c r="P28" i="7" s="1"/>
  <c r="P36" i="7" s="1"/>
  <c r="O35" i="17"/>
  <c r="O34" i="5" s="1"/>
  <c r="O12" i="6" s="1"/>
  <c r="P18" i="17"/>
  <c r="P27" i="5" s="1"/>
  <c r="P30" i="17"/>
  <c r="P33" i="17"/>
  <c r="P34" i="6" s="1"/>
  <c r="P28" i="17"/>
  <c r="P26" i="6" s="1"/>
  <c r="P23" i="17"/>
  <c r="O21" i="8"/>
  <c r="N39" i="9"/>
  <c r="N43" i="9"/>
  <c r="H25" i="8"/>
  <c r="H32" i="8"/>
  <c r="M57" i="6"/>
  <c r="H70" i="2"/>
  <c r="M62" i="5"/>
  <c r="M44" i="6"/>
  <c r="J58" i="6"/>
  <c r="J56" i="6"/>
  <c r="J55" i="6"/>
  <c r="E71" i="2"/>
  <c r="O16" i="8"/>
  <c r="O35" i="9"/>
  <c r="R5" i="17"/>
  <c r="R5" i="9"/>
  <c r="R5" i="8"/>
  <c r="R5" i="5"/>
  <c r="R5" i="7"/>
  <c r="R5" i="6"/>
  <c r="R10" i="4"/>
  <c r="R11" i="4" s="1"/>
  <c r="O34" i="7"/>
  <c r="R34" i="9"/>
  <c r="O17" i="8"/>
  <c r="R7" i="17"/>
  <c r="R7" i="9"/>
  <c r="R7" i="7"/>
  <c r="R7" i="5"/>
  <c r="R7" i="8"/>
  <c r="R4" i="4"/>
  <c r="R7" i="6"/>
  <c r="N58" i="5"/>
  <c r="N28" i="6" s="1"/>
  <c r="O37" i="17"/>
  <c r="O32" i="6" s="1"/>
  <c r="N51" i="5"/>
  <c r="N56" i="5" s="1"/>
  <c r="N32" i="5"/>
  <c r="N12" i="6"/>
  <c r="N13" i="6" s="1"/>
  <c r="O14" i="9"/>
  <c r="O23" i="9" s="1"/>
  <c r="O42" i="5"/>
  <c r="O15" i="5"/>
  <c r="O16" i="5" s="1"/>
  <c r="O10" i="6"/>
  <c r="F35" i="8"/>
  <c r="F34" i="8"/>
  <c r="P16" i="6"/>
  <c r="R31" i="9"/>
  <c r="M21" i="6"/>
  <c r="M29" i="6"/>
  <c r="R48" i="17"/>
  <c r="R28" i="8" s="1"/>
  <c r="R53" i="17"/>
  <c r="R14" i="7" s="1"/>
  <c r="R58" i="17"/>
  <c r="R19" i="7" s="1"/>
  <c r="R63" i="17"/>
  <c r="R74" i="17"/>
  <c r="R64" i="5" s="1"/>
  <c r="R51" i="17"/>
  <c r="R12" i="7" s="1"/>
  <c r="R16" i="9" s="1"/>
  <c r="R56" i="17"/>
  <c r="R61" i="17"/>
  <c r="R23" i="7" s="1"/>
  <c r="R66" i="17"/>
  <c r="R29" i="7" s="1"/>
  <c r="R56" i="9" s="1"/>
  <c r="R49" i="17"/>
  <c r="R10" i="7" s="1"/>
  <c r="R59" i="17"/>
  <c r="R64" i="17"/>
  <c r="R52" i="17"/>
  <c r="R13" i="7" s="1"/>
  <c r="R18" i="9" s="1"/>
  <c r="R57" i="17"/>
  <c r="R18" i="7" s="1"/>
  <c r="R42" i="9" s="1"/>
  <c r="S40" i="9" s="1"/>
  <c r="R62" i="17"/>
  <c r="R24" i="7" s="1"/>
  <c r="R24" i="9" s="1"/>
  <c r="R67" i="17"/>
  <c r="R73" i="17"/>
  <c r="R10" i="5" s="1"/>
  <c r="R12" i="5" s="1"/>
  <c r="R39" i="6" s="1"/>
  <c r="R50" i="17"/>
  <c r="R11" i="7" s="1"/>
  <c r="R47" i="9" s="1"/>
  <c r="S45" i="9" s="1"/>
  <c r="R55" i="17"/>
  <c r="R17" i="7" s="1"/>
  <c r="R37" i="9" s="1"/>
  <c r="R60" i="17"/>
  <c r="R33" i="7" s="1"/>
  <c r="R65" i="17"/>
  <c r="R54" i="17"/>
  <c r="P76" i="17"/>
  <c r="P81" i="17"/>
  <c r="P38" i="6" s="1"/>
  <c r="P79" i="17"/>
  <c r="P84" i="17"/>
  <c r="P47" i="5" s="1"/>
  <c r="P82" i="17"/>
  <c r="P41" i="6" s="1"/>
  <c r="P75" i="17"/>
  <c r="P23" i="5" s="1"/>
  <c r="P19" i="5" s="1"/>
  <c r="P80" i="17"/>
  <c r="P85" i="17"/>
  <c r="P21" i="5" s="1"/>
  <c r="P78" i="17"/>
  <c r="P83" i="17"/>
  <c r="P42" i="6" s="1"/>
  <c r="P77" i="17"/>
  <c r="P33" i="8" s="1"/>
  <c r="Q71" i="17"/>
  <c r="Q27" i="7" s="1"/>
  <c r="Q35" i="7"/>
  <c r="M15" i="9"/>
  <c r="M27" i="9"/>
  <c r="M19" i="9"/>
  <c r="O53" i="9"/>
  <c r="O12" i="8"/>
  <c r="O48" i="5"/>
  <c r="P20" i="17"/>
  <c r="P41" i="5" s="1"/>
  <c r="O27" i="6"/>
  <c r="J13" i="8"/>
  <c r="O40" i="6"/>
  <c r="O43" i="6"/>
  <c r="L21" i="6"/>
  <c r="L29" i="6"/>
  <c r="O28" i="5"/>
  <c r="O29" i="5" s="1"/>
  <c r="O30" i="5" s="1"/>
  <c r="Q10" i="17"/>
  <c r="Q11" i="17"/>
  <c r="Q9" i="17"/>
  <c r="Q70" i="17"/>
  <c r="Q25" i="7" s="1"/>
  <c r="Q26" i="9" s="1"/>
  <c r="P22" i="17"/>
  <c r="P55" i="5" s="1"/>
  <c r="P17" i="17"/>
  <c r="P17" i="5" s="1"/>
  <c r="G34" i="8"/>
  <c r="G35" i="8"/>
  <c r="K53" i="6"/>
  <c r="K54" i="6" s="1"/>
  <c r="O22" i="5"/>
  <c r="P32" i="17"/>
  <c r="P27" i="17"/>
  <c r="P25" i="6" s="1"/>
  <c r="P32" i="9"/>
  <c r="N38" i="5"/>
  <c r="P42" i="17"/>
  <c r="P40" i="17"/>
  <c r="P51" i="6" s="1"/>
  <c r="P45" i="17"/>
  <c r="P41" i="17"/>
  <c r="P46" i="17"/>
  <c r="P23" i="8" s="1"/>
  <c r="P39" i="17"/>
  <c r="P44" i="17"/>
  <c r="P43" i="17"/>
  <c r="G26" i="8"/>
  <c r="G27" i="8" s="1"/>
  <c r="F30" i="8"/>
  <c r="S8" i="17"/>
  <c r="S14" i="17" s="1"/>
  <c r="S8" i="9"/>
  <c r="T8" i="4"/>
  <c r="S9" i="4"/>
  <c r="S10" i="9" s="1"/>
  <c r="S6" i="4"/>
  <c r="S8" i="6"/>
  <c r="S8" i="7"/>
  <c r="S7" i="4"/>
  <c r="S8" i="5"/>
  <c r="S5" i="4"/>
  <c r="S8" i="8"/>
  <c r="Q69" i="17"/>
  <c r="Q20" i="7" s="1"/>
  <c r="Q28" i="9" s="1"/>
  <c r="Q22" i="9"/>
  <c r="P25" i="17"/>
  <c r="P23" i="6" s="1"/>
  <c r="P34" i="17"/>
  <c r="O54" i="9"/>
  <c r="O20" i="8"/>
  <c r="O22" i="8" s="1"/>
  <c r="Q29" i="8"/>
  <c r="R48" i="9"/>
  <c r="R51" i="9"/>
  <c r="O24" i="5"/>
  <c r="O25" i="5" s="1"/>
  <c r="O26" i="5" s="1"/>
  <c r="O11" i="6"/>
  <c r="O45" i="5"/>
  <c r="O46" i="5" s="1"/>
  <c r="P16" i="7"/>
  <c r="P21" i="7" s="1"/>
  <c r="N38" i="9"/>
  <c r="N19" i="6"/>
  <c r="N12" i="9" s="1"/>
  <c r="N18" i="8"/>
  <c r="P29" i="17"/>
  <c r="O50" i="6"/>
  <c r="O11" i="8" s="1"/>
  <c r="K36" i="6"/>
  <c r="K10" i="8"/>
  <c r="K52" i="9"/>
  <c r="K55" i="9" s="1"/>
  <c r="Q12" i="17"/>
  <c r="Q13" i="17"/>
  <c r="I25" i="8"/>
  <c r="I32" i="8"/>
  <c r="P24" i="17"/>
  <c r="Q31" i="9"/>
  <c r="O36" i="7"/>
  <c r="O30" i="7"/>
  <c r="O32" i="7" s="1"/>
  <c r="Q4" i="17"/>
  <c r="Q4" i="9"/>
  <c r="Q4" i="8"/>
  <c r="Q4" i="7"/>
  <c r="Q4" i="6"/>
  <c r="L69" i="2"/>
  <c r="Q4" i="5"/>
  <c r="R6" i="17"/>
  <c r="R6" i="7"/>
  <c r="R6" i="5"/>
  <c r="R6" i="8"/>
  <c r="R6" i="6"/>
  <c r="R6" i="9"/>
  <c r="Q13" i="5"/>
  <c r="Q11" i="5"/>
  <c r="O32" i="5"/>
  <c r="Q68" i="17"/>
  <c r="Q15" i="7" s="1"/>
  <c r="Q20" i="9" s="1"/>
  <c r="L15" i="9"/>
  <c r="L19" i="9"/>
  <c r="L27" i="9"/>
  <c r="O15" i="6"/>
  <c r="O40" i="5"/>
  <c r="P19" i="17"/>
  <c r="O41" i="9"/>
  <c r="O36" i="9" s="1"/>
  <c r="O18" i="6"/>
  <c r="P45" i="5" l="1"/>
  <c r="P30" i="7"/>
  <c r="O13" i="9"/>
  <c r="O17" i="9" s="1"/>
  <c r="O17" i="6"/>
  <c r="O51" i="5"/>
  <c r="Q25" i="17"/>
  <c r="Q23" i="6" s="1"/>
  <c r="O36" i="5"/>
  <c r="O37" i="5" s="1"/>
  <c r="P44" i="5"/>
  <c r="P11" i="6"/>
  <c r="P37" i="17"/>
  <c r="P32" i="6" s="1"/>
  <c r="Q29" i="17"/>
  <c r="P35" i="17"/>
  <c r="P34" i="5" s="1"/>
  <c r="P32" i="5" s="1"/>
  <c r="O43" i="9"/>
  <c r="O39" i="9"/>
  <c r="K58" i="6"/>
  <c r="K56" i="6"/>
  <c r="K55" i="6"/>
  <c r="F71" i="2"/>
  <c r="M52" i="6"/>
  <c r="M30" i="6"/>
  <c r="M33" i="6"/>
  <c r="M35" i="6" s="1"/>
  <c r="L30" i="6"/>
  <c r="L52" i="6"/>
  <c r="L33" i="6"/>
  <c r="L35" i="6" s="1"/>
  <c r="T8" i="17"/>
  <c r="T14" i="17" s="1"/>
  <c r="T8" i="9"/>
  <c r="T8" i="8"/>
  <c r="T7" i="4"/>
  <c r="T9" i="4"/>
  <c r="T10" i="9" s="1"/>
  <c r="T5" i="4"/>
  <c r="T8" i="7"/>
  <c r="T8" i="5"/>
  <c r="T8" i="6"/>
  <c r="U8" i="4"/>
  <c r="T6" i="4"/>
  <c r="Q29" i="9"/>
  <c r="Q30" i="9" s="1"/>
  <c r="S48" i="17"/>
  <c r="S28" i="8" s="1"/>
  <c r="S53" i="17"/>
  <c r="S14" i="7" s="1"/>
  <c r="S58" i="17"/>
  <c r="S19" i="7" s="1"/>
  <c r="S63" i="17"/>
  <c r="S74" i="17"/>
  <c r="S64" i="5" s="1"/>
  <c r="S51" i="17"/>
  <c r="S12" i="7" s="1"/>
  <c r="S16" i="9" s="1"/>
  <c r="S56" i="17"/>
  <c r="S61" i="17"/>
  <c r="S23" i="7" s="1"/>
  <c r="S66" i="17"/>
  <c r="S29" i="7" s="1"/>
  <c r="S56" i="9" s="1"/>
  <c r="S49" i="17"/>
  <c r="S10" i="7" s="1"/>
  <c r="S54" i="17"/>
  <c r="S64" i="17"/>
  <c r="S52" i="17"/>
  <c r="S13" i="7" s="1"/>
  <c r="S18" i="9" s="1"/>
  <c r="S57" i="17"/>
  <c r="S18" i="7" s="1"/>
  <c r="S42" i="9" s="1"/>
  <c r="T40" i="9" s="1"/>
  <c r="S62" i="17"/>
  <c r="S24" i="7" s="1"/>
  <c r="S24" i="9" s="1"/>
  <c r="S67" i="17"/>
  <c r="S73" i="17"/>
  <c r="S10" i="5" s="1"/>
  <c r="S50" i="17"/>
  <c r="S11" i="7" s="1"/>
  <c r="S47" i="9" s="1"/>
  <c r="T45" i="9" s="1"/>
  <c r="S55" i="17"/>
  <c r="S17" i="7" s="1"/>
  <c r="S37" i="9" s="1"/>
  <c r="S60" i="17"/>
  <c r="S33" i="7" s="1"/>
  <c r="S65" i="17"/>
  <c r="S59" i="17"/>
  <c r="P28" i="5"/>
  <c r="P29" i="5" s="1"/>
  <c r="Q31" i="17"/>
  <c r="Q31" i="6" s="1"/>
  <c r="Q49" i="9" s="1"/>
  <c r="O54" i="5"/>
  <c r="Q26" i="17"/>
  <c r="Q24" i="6" s="1"/>
  <c r="J14" i="8"/>
  <c r="P40" i="6"/>
  <c r="P43" i="6"/>
  <c r="P45" i="6" s="1"/>
  <c r="N11" i="9"/>
  <c r="N20" i="6"/>
  <c r="P48" i="5"/>
  <c r="N21" i="9"/>
  <c r="N25" i="9"/>
  <c r="H26" i="8"/>
  <c r="H27" i="8" s="1"/>
  <c r="G30" i="8"/>
  <c r="Q21" i="17"/>
  <c r="Q43" i="5" s="1"/>
  <c r="Q76" i="17"/>
  <c r="Q81" i="17"/>
  <c r="Q38" i="6" s="1"/>
  <c r="Q79" i="17"/>
  <c r="Q84" i="17"/>
  <c r="Q47" i="5" s="1"/>
  <c r="Q77" i="17"/>
  <c r="Q33" i="8" s="1"/>
  <c r="Q75" i="17"/>
  <c r="Q23" i="5" s="1"/>
  <c r="Q19" i="5" s="1"/>
  <c r="Q80" i="17"/>
  <c r="Q85" i="17"/>
  <c r="Q21" i="5" s="1"/>
  <c r="Q78" i="17"/>
  <c r="Q83" i="17"/>
  <c r="Q42" i="6" s="1"/>
  <c r="Q82" i="17"/>
  <c r="Q41" i="6" s="1"/>
  <c r="O45" i="6"/>
  <c r="R68" i="17"/>
  <c r="R15" i="7" s="1"/>
  <c r="R20" i="9" s="1"/>
  <c r="P32" i="7"/>
  <c r="P34" i="7"/>
  <c r="P17" i="8"/>
  <c r="Q33" i="17"/>
  <c r="Q34" i="6" s="1"/>
  <c r="Q30" i="17"/>
  <c r="R71" i="17"/>
  <c r="R27" i="7" s="1"/>
  <c r="R35" i="7"/>
  <c r="P12" i="8"/>
  <c r="P53" i="9"/>
  <c r="R69" i="17"/>
  <c r="R20" i="7" s="1"/>
  <c r="R28" i="9" s="1"/>
  <c r="N63" i="5"/>
  <c r="N59" i="5"/>
  <c r="N60" i="5"/>
  <c r="N61" i="5" s="1"/>
  <c r="Q18" i="17"/>
  <c r="Q27" i="5" s="1"/>
  <c r="R29" i="8"/>
  <c r="S48" i="9"/>
  <c r="P24" i="5"/>
  <c r="P25" i="5" s="1"/>
  <c r="R12" i="17"/>
  <c r="R13" i="17"/>
  <c r="S51" i="9"/>
  <c r="P54" i="9"/>
  <c r="P20" i="8"/>
  <c r="O18" i="8"/>
  <c r="Q20" i="17"/>
  <c r="Q41" i="5" s="1"/>
  <c r="Q22" i="17"/>
  <c r="Q55" i="5" s="1"/>
  <c r="Q34" i="17"/>
  <c r="R22" i="9"/>
  <c r="R4" i="17"/>
  <c r="R4" i="9"/>
  <c r="R4" i="7"/>
  <c r="R4" i="6"/>
  <c r="R4" i="8"/>
  <c r="M69" i="2"/>
  <c r="R4" i="5"/>
  <c r="I35" i="8"/>
  <c r="I34" i="8"/>
  <c r="D72" i="2"/>
  <c r="O19" i="6"/>
  <c r="O12" i="9" s="1"/>
  <c r="K13" i="8"/>
  <c r="K14" i="8" s="1"/>
  <c r="S6" i="17"/>
  <c r="S6" i="7"/>
  <c r="S6" i="5"/>
  <c r="S6" i="8"/>
  <c r="S6" i="6"/>
  <c r="S6" i="9"/>
  <c r="Q28" i="17"/>
  <c r="Q26" i="6" s="1"/>
  <c r="Q23" i="17"/>
  <c r="P21" i="8"/>
  <c r="Q26" i="7"/>
  <c r="Q28" i="7" s="1"/>
  <c r="H34" i="8"/>
  <c r="H35" i="8"/>
  <c r="S5" i="17"/>
  <c r="S5" i="9"/>
  <c r="S5" i="8"/>
  <c r="S5" i="6"/>
  <c r="S10" i="4"/>
  <c r="S11" i="4" s="1"/>
  <c r="S5" i="5"/>
  <c r="S5" i="7"/>
  <c r="P14" i="9"/>
  <c r="P23" i="9" s="1"/>
  <c r="P42" i="5"/>
  <c r="P15" i="5"/>
  <c r="P36" i="5"/>
  <c r="P10" i="6"/>
  <c r="P50" i="6"/>
  <c r="P11" i="8" s="1"/>
  <c r="Q32" i="17"/>
  <c r="P46" i="5"/>
  <c r="N54" i="5"/>
  <c r="N52" i="5"/>
  <c r="N53" i="5" s="1"/>
  <c r="Q17" i="17"/>
  <c r="Q17" i="5" s="1"/>
  <c r="Q42" i="17"/>
  <c r="Q40" i="17"/>
  <c r="Q51" i="6" s="1"/>
  <c r="Q45" i="17"/>
  <c r="Q43" i="17"/>
  <c r="Q41" i="17"/>
  <c r="Q46" i="17"/>
  <c r="Q23" i="8" s="1"/>
  <c r="Q39" i="17"/>
  <c r="Q44" i="17"/>
  <c r="Q24" i="17"/>
  <c r="R10" i="17"/>
  <c r="R11" i="17"/>
  <c r="R9" i="17"/>
  <c r="R27" i="17" s="1"/>
  <c r="R25" i="6" s="1"/>
  <c r="S7" i="17"/>
  <c r="S7" i="9"/>
  <c r="S7" i="7"/>
  <c r="S7" i="5"/>
  <c r="S4" i="4"/>
  <c r="S7" i="8"/>
  <c r="S7" i="6"/>
  <c r="S34" i="9"/>
  <c r="R13" i="5"/>
  <c r="R11" i="5"/>
  <c r="P16" i="8"/>
  <c r="P35" i="9"/>
  <c r="Q27" i="17"/>
  <c r="Q25" i="6" s="1"/>
  <c r="O52" i="5"/>
  <c r="O53" i="5" s="1"/>
  <c r="Q19" i="17"/>
  <c r="P41" i="9"/>
  <c r="P36" i="9" s="1"/>
  <c r="P18" i="6"/>
  <c r="P20" i="5"/>
  <c r="P22" i="5" s="1"/>
  <c r="O13" i="6"/>
  <c r="P15" i="6"/>
  <c r="P40" i="5"/>
  <c r="O38" i="9"/>
  <c r="P36" i="17"/>
  <c r="P50" i="5" s="1"/>
  <c r="O56" i="5"/>
  <c r="O58" i="5"/>
  <c r="Q16" i="7"/>
  <c r="Q21" i="7" s="1"/>
  <c r="P27" i="6"/>
  <c r="R70" i="17"/>
  <c r="R25" i="7" s="1"/>
  <c r="R26" i="9" s="1"/>
  <c r="O38" i="5" l="1"/>
  <c r="P12" i="6"/>
  <c r="P13" i="6" s="1"/>
  <c r="Q17" i="8"/>
  <c r="R20" i="17"/>
  <c r="R41" i="5" s="1"/>
  <c r="R15" i="6" s="1"/>
  <c r="R31" i="17"/>
  <c r="R31" i="6" s="1"/>
  <c r="R49" i="9" s="1"/>
  <c r="R26" i="17"/>
  <c r="R24" i="6" s="1"/>
  <c r="R21" i="17"/>
  <c r="R43" i="5" s="1"/>
  <c r="Q21" i="8"/>
  <c r="Q27" i="6"/>
  <c r="P22" i="8"/>
  <c r="R33" i="17"/>
  <c r="R34" i="6" s="1"/>
  <c r="R30" i="17"/>
  <c r="R28" i="17"/>
  <c r="R26" i="6" s="1"/>
  <c r="R18" i="17"/>
  <c r="R27" i="5" s="1"/>
  <c r="R25" i="17"/>
  <c r="R23" i="6" s="1"/>
  <c r="R32" i="17"/>
  <c r="R23" i="17"/>
  <c r="P43" i="9"/>
  <c r="P39" i="9"/>
  <c r="I70" i="2"/>
  <c r="N57" i="6"/>
  <c r="N62" i="5"/>
  <c r="N44" i="6"/>
  <c r="Q50" i="6"/>
  <c r="Q11" i="8" s="1"/>
  <c r="Q30" i="7"/>
  <c r="Q32" i="7" s="1"/>
  <c r="Q36" i="7"/>
  <c r="Q15" i="6"/>
  <c r="Q40" i="5"/>
  <c r="P13" i="9"/>
  <c r="P17" i="9" s="1"/>
  <c r="P49" i="5"/>
  <c r="P17" i="6"/>
  <c r="P19" i="6" s="1"/>
  <c r="P12" i="9" s="1"/>
  <c r="Q36" i="17"/>
  <c r="Q50" i="5" s="1"/>
  <c r="O59" i="5"/>
  <c r="O63" i="5"/>
  <c r="O60" i="5"/>
  <c r="O61" i="5" s="1"/>
  <c r="U8" i="17"/>
  <c r="U14" i="17" s="1"/>
  <c r="U8" i="9"/>
  <c r="U8" i="8"/>
  <c r="U9" i="4"/>
  <c r="U10" i="9" s="1"/>
  <c r="U7" i="4"/>
  <c r="U6" i="4"/>
  <c r="U8" i="5"/>
  <c r="U8" i="6"/>
  <c r="V8" i="4"/>
  <c r="U8" i="7"/>
  <c r="U5" i="4"/>
  <c r="S10" i="17"/>
  <c r="S11" i="17"/>
  <c r="S9" i="17"/>
  <c r="S29" i="17" s="1"/>
  <c r="T5" i="17"/>
  <c r="T5" i="9"/>
  <c r="T5" i="6"/>
  <c r="T10" i="4"/>
  <c r="T11" i="4" s="1"/>
  <c r="T5" i="5"/>
  <c r="T5" i="7"/>
  <c r="T5" i="8"/>
  <c r="R16" i="6"/>
  <c r="P30" i="5"/>
  <c r="O11" i="9"/>
  <c r="O20" i="6"/>
  <c r="R76" i="17"/>
  <c r="R81" i="17"/>
  <c r="R38" i="6" s="1"/>
  <c r="R79" i="17"/>
  <c r="R84" i="17"/>
  <c r="R47" i="5" s="1"/>
  <c r="R77" i="17"/>
  <c r="R33" i="8" s="1"/>
  <c r="R82" i="17"/>
  <c r="R41" i="6" s="1"/>
  <c r="R75" i="17"/>
  <c r="R23" i="5" s="1"/>
  <c r="R19" i="5" s="1"/>
  <c r="R20" i="5" s="1"/>
  <c r="R80" i="17"/>
  <c r="R85" i="17"/>
  <c r="R21" i="5" s="1"/>
  <c r="R78" i="17"/>
  <c r="R83" i="17"/>
  <c r="R42" i="6" s="1"/>
  <c r="S69" i="17"/>
  <c r="S20" i="7" s="1"/>
  <c r="S28" i="9" s="1"/>
  <c r="T7" i="17"/>
  <c r="T7" i="7"/>
  <c r="T7" i="9"/>
  <c r="T7" i="5"/>
  <c r="T7" i="8"/>
  <c r="T4" i="4"/>
  <c r="T7" i="6"/>
  <c r="O28" i="6"/>
  <c r="Q20" i="5"/>
  <c r="Q22" i="5" s="1"/>
  <c r="Q37" i="17"/>
  <c r="Q32" i="6" s="1"/>
  <c r="T34" i="9"/>
  <c r="T53" i="17"/>
  <c r="T14" i="7" s="1"/>
  <c r="T58" i="17"/>
  <c r="T19" i="7" s="1"/>
  <c r="T63" i="17"/>
  <c r="T74" i="17"/>
  <c r="T64" i="5" s="1"/>
  <c r="T51" i="17"/>
  <c r="T12" i="7" s="1"/>
  <c r="T16" i="9" s="1"/>
  <c r="T56" i="17"/>
  <c r="T61" i="17"/>
  <c r="T23" i="7" s="1"/>
  <c r="T66" i="17"/>
  <c r="T29" i="7" s="1"/>
  <c r="T56" i="9" s="1"/>
  <c r="T49" i="17"/>
  <c r="T10" i="7" s="1"/>
  <c r="T54" i="17"/>
  <c r="T59" i="17"/>
  <c r="T52" i="17"/>
  <c r="T13" i="7" s="1"/>
  <c r="T18" i="9" s="1"/>
  <c r="T57" i="17"/>
  <c r="T18" i="7" s="1"/>
  <c r="T42" i="9" s="1"/>
  <c r="U40" i="9" s="1"/>
  <c r="T62" i="17"/>
  <c r="T24" i="7" s="1"/>
  <c r="T24" i="9" s="1"/>
  <c r="T67" i="17"/>
  <c r="T73" i="17"/>
  <c r="T10" i="5" s="1"/>
  <c r="T50" i="17"/>
  <c r="T11" i="7" s="1"/>
  <c r="T47" i="9" s="1"/>
  <c r="U45" i="9" s="1"/>
  <c r="T55" i="17"/>
  <c r="T17" i="7" s="1"/>
  <c r="T37" i="9" s="1"/>
  <c r="T60" i="17"/>
  <c r="T33" i="7" s="1"/>
  <c r="T65" i="17"/>
  <c r="T48" i="17"/>
  <c r="T28" i="8" s="1"/>
  <c r="T64" i="17"/>
  <c r="K32" i="8"/>
  <c r="K25" i="8"/>
  <c r="O21" i="9"/>
  <c r="O25" i="9"/>
  <c r="S68" i="17"/>
  <c r="S15" i="7" s="1"/>
  <c r="S20" i="9" s="1"/>
  <c r="T6" i="17"/>
  <c r="T6" i="9"/>
  <c r="T6" i="7"/>
  <c r="T6" i="8"/>
  <c r="T6" i="6"/>
  <c r="T6" i="5"/>
  <c r="T48" i="9"/>
  <c r="S29" i="8"/>
  <c r="T51" i="9"/>
  <c r="Q43" i="6"/>
  <c r="Q40" i="6"/>
  <c r="S22" i="9"/>
  <c r="Q14" i="9"/>
  <c r="Q23" i="9" s="1"/>
  <c r="Q15" i="5"/>
  <c r="Q10" i="6"/>
  <c r="Q42" i="5"/>
  <c r="R45" i="5"/>
  <c r="R11" i="6"/>
  <c r="R22" i="17"/>
  <c r="R55" i="5" s="1"/>
  <c r="H30" i="8"/>
  <c r="I26" i="8"/>
  <c r="I27" i="8" s="1"/>
  <c r="P16" i="5"/>
  <c r="S4" i="17"/>
  <c r="S4" i="9"/>
  <c r="S4" i="7"/>
  <c r="S4" i="6"/>
  <c r="S4" i="8"/>
  <c r="S4" i="5"/>
  <c r="N69" i="2"/>
  <c r="Q32" i="9"/>
  <c r="Q12" i="8"/>
  <c r="Q53" i="9"/>
  <c r="Q48" i="5"/>
  <c r="L52" i="9"/>
  <c r="L55" i="9" s="1"/>
  <c r="L10" i="8"/>
  <c r="L36" i="6"/>
  <c r="R16" i="7"/>
  <c r="R21" i="7" s="1"/>
  <c r="Q44" i="5"/>
  <c r="Q16" i="6"/>
  <c r="Q28" i="5"/>
  <c r="Q29" i="5" s="1"/>
  <c r="P18" i="8"/>
  <c r="R17" i="17"/>
  <c r="R17" i="5" s="1"/>
  <c r="P51" i="5"/>
  <c r="P56" i="5" s="1"/>
  <c r="R34" i="17"/>
  <c r="R24" i="17"/>
  <c r="N21" i="6"/>
  <c r="N29" i="6"/>
  <c r="S12" i="17"/>
  <c r="S13" i="17"/>
  <c r="S13" i="5"/>
  <c r="S11" i="5"/>
  <c r="F6" i="14" s="1"/>
  <c r="S71" i="17"/>
  <c r="S27" i="7" s="1"/>
  <c r="S35" i="7"/>
  <c r="R42" i="17"/>
  <c r="R40" i="17"/>
  <c r="R51" i="6" s="1"/>
  <c r="R45" i="17"/>
  <c r="R43" i="17"/>
  <c r="R41" i="17"/>
  <c r="R46" i="17"/>
  <c r="R23" i="8" s="1"/>
  <c r="R39" i="17"/>
  <c r="R44" i="17"/>
  <c r="R29" i="17"/>
  <c r="P58" i="5"/>
  <c r="R19" i="17"/>
  <c r="R29" i="9"/>
  <c r="R30" i="9" s="1"/>
  <c r="R32" i="9" s="1"/>
  <c r="R26" i="7"/>
  <c r="R28" i="7" s="1"/>
  <c r="N15" i="9"/>
  <c r="N19" i="9"/>
  <c r="N27" i="9"/>
  <c r="S70" i="17"/>
  <c r="S25" i="7" s="1"/>
  <c r="S26" i="9" s="1"/>
  <c r="Q54" i="9"/>
  <c r="Q20" i="8"/>
  <c r="Q22" i="8" s="1"/>
  <c r="J25" i="8"/>
  <c r="J32" i="8"/>
  <c r="Q35" i="9"/>
  <c r="Q16" i="8"/>
  <c r="Q18" i="8" s="1"/>
  <c r="Q35" i="17"/>
  <c r="Q34" i="5" s="1"/>
  <c r="Q36" i="5" s="1"/>
  <c r="M53" i="6"/>
  <c r="M54" i="6" s="1"/>
  <c r="P37" i="5"/>
  <c r="P38" i="5"/>
  <c r="S12" i="5"/>
  <c r="S39" i="6" s="1"/>
  <c r="S31" i="9"/>
  <c r="P26" i="5"/>
  <c r="L53" i="6"/>
  <c r="L54" i="6" s="1"/>
  <c r="Q45" i="5"/>
  <c r="Q46" i="5" s="1"/>
  <c r="Q11" i="6"/>
  <c r="Q24" i="5"/>
  <c r="Q25" i="5" s="1"/>
  <c r="M52" i="9"/>
  <c r="M55" i="9" s="1"/>
  <c r="M10" i="8"/>
  <c r="M36" i="6"/>
  <c r="P38" i="9"/>
  <c r="Q34" i="7"/>
  <c r="Q41" i="9"/>
  <c r="Q36" i="9" s="1"/>
  <c r="Q18" i="6"/>
  <c r="R27" i="6" l="1"/>
  <c r="R44" i="5"/>
  <c r="R17" i="8"/>
  <c r="R37" i="17"/>
  <c r="R32" i="6" s="1"/>
  <c r="S25" i="17"/>
  <c r="S23" i="6" s="1"/>
  <c r="R24" i="5"/>
  <c r="R25" i="5" s="1"/>
  <c r="R26" i="5" s="1"/>
  <c r="T68" i="17"/>
  <c r="T15" i="7" s="1"/>
  <c r="T20" i="9" s="1"/>
  <c r="S26" i="7"/>
  <c r="S28" i="7" s="1"/>
  <c r="Q38" i="9"/>
  <c r="S16" i="7"/>
  <c r="S21" i="7" s="1"/>
  <c r="R46" i="5"/>
  <c r="R21" i="8"/>
  <c r="E6" i="14"/>
  <c r="G6" i="14" s="1"/>
  <c r="Q37" i="5"/>
  <c r="Q38" i="5"/>
  <c r="H29" i="13"/>
  <c r="L58" i="6"/>
  <c r="L55" i="6"/>
  <c r="L56" i="6"/>
  <c r="G71" i="2"/>
  <c r="O57" i="6"/>
  <c r="O62" i="5"/>
  <c r="J70" i="2"/>
  <c r="O44" i="6"/>
  <c r="U58" i="17"/>
  <c r="U19" i="7" s="1"/>
  <c r="U63" i="17"/>
  <c r="U74" i="17"/>
  <c r="U64" i="5" s="1"/>
  <c r="U51" i="17"/>
  <c r="U12" i="7" s="1"/>
  <c r="U16" i="9" s="1"/>
  <c r="U56" i="17"/>
  <c r="U61" i="17"/>
  <c r="U23" i="7" s="1"/>
  <c r="U66" i="17"/>
  <c r="U29" i="7" s="1"/>
  <c r="U56" i="9" s="1"/>
  <c r="U49" i="17"/>
  <c r="U10" i="7" s="1"/>
  <c r="U54" i="17"/>
  <c r="U59" i="17"/>
  <c r="U64" i="17"/>
  <c r="U52" i="17"/>
  <c r="U13" i="7" s="1"/>
  <c r="U18" i="9" s="1"/>
  <c r="U31" i="9" s="1"/>
  <c r="U57" i="17"/>
  <c r="U62" i="17"/>
  <c r="U24" i="7" s="1"/>
  <c r="U24" i="9" s="1"/>
  <c r="U67" i="17"/>
  <c r="U73" i="17"/>
  <c r="U10" i="5" s="1"/>
  <c r="U50" i="17"/>
  <c r="U11" i="7" s="1"/>
  <c r="U47" i="9" s="1"/>
  <c r="V45" i="9" s="1"/>
  <c r="U55" i="17"/>
  <c r="U17" i="7" s="1"/>
  <c r="U37" i="9" s="1"/>
  <c r="U60" i="17"/>
  <c r="U33" i="7" s="1"/>
  <c r="U65" i="17"/>
  <c r="U48" i="17"/>
  <c r="U28" i="8" s="1"/>
  <c r="U53" i="17"/>
  <c r="U14" i="7" s="1"/>
  <c r="R50" i="6"/>
  <c r="R11" i="8" s="1"/>
  <c r="Q58" i="5"/>
  <c r="S31" i="17"/>
  <c r="S31" i="6" s="1"/>
  <c r="S49" i="9" s="1"/>
  <c r="R35" i="9"/>
  <c r="R16" i="8"/>
  <c r="R18" i="8" s="1"/>
  <c r="U34" i="9"/>
  <c r="S26" i="17"/>
  <c r="S24" i="6" s="1"/>
  <c r="P11" i="9"/>
  <c r="P20" i="6"/>
  <c r="P21" i="9"/>
  <c r="P25" i="9"/>
  <c r="Q16" i="5"/>
  <c r="T19" i="17"/>
  <c r="T24" i="17"/>
  <c r="T29" i="17"/>
  <c r="T34" i="17"/>
  <c r="T10" i="17"/>
  <c r="T17" i="17"/>
  <c r="T17" i="5" s="1"/>
  <c r="T11" i="17"/>
  <c r="T9" i="17"/>
  <c r="T20" i="17" s="1"/>
  <c r="T41" i="5" s="1"/>
  <c r="S21" i="17"/>
  <c r="S43" i="5" s="1"/>
  <c r="E29" i="14"/>
  <c r="T13" i="5"/>
  <c r="T11" i="5"/>
  <c r="S33" i="17"/>
  <c r="S34" i="6" s="1"/>
  <c r="Q13" i="9"/>
  <c r="Q17" i="9" s="1"/>
  <c r="Q49" i="5"/>
  <c r="Q17" i="6"/>
  <c r="S28" i="17"/>
  <c r="S26" i="6" s="1"/>
  <c r="R14" i="9"/>
  <c r="R23" i="9" s="1"/>
  <c r="R10" i="6"/>
  <c r="R15" i="5"/>
  <c r="R16" i="5" s="1"/>
  <c r="R42" i="5"/>
  <c r="S18" i="17"/>
  <c r="S27" i="5" s="1"/>
  <c r="S17" i="17"/>
  <c r="S17" i="5" s="1"/>
  <c r="S36" i="7"/>
  <c r="S30" i="7"/>
  <c r="O29" i="6"/>
  <c r="O21" i="6"/>
  <c r="S40" i="17"/>
  <c r="S51" i="6" s="1"/>
  <c r="S45" i="17"/>
  <c r="S43" i="17"/>
  <c r="S41" i="17"/>
  <c r="S46" i="17"/>
  <c r="S23" i="8" s="1"/>
  <c r="S39" i="17"/>
  <c r="S44" i="17"/>
  <c r="S42" i="17"/>
  <c r="O15" i="9"/>
  <c r="O27" i="9"/>
  <c r="O19" i="9"/>
  <c r="S34" i="17"/>
  <c r="P59" i="5"/>
  <c r="P63" i="5"/>
  <c r="P60" i="5"/>
  <c r="P61" i="5" s="1"/>
  <c r="R20" i="8"/>
  <c r="R54" i="9"/>
  <c r="R34" i="7"/>
  <c r="R40" i="5"/>
  <c r="L13" i="8"/>
  <c r="L14" i="8" s="1"/>
  <c r="S81" i="17"/>
  <c r="S38" i="6" s="1"/>
  <c r="F22" i="14" s="1"/>
  <c r="S79" i="17"/>
  <c r="S84" i="17"/>
  <c r="S47" i="5" s="1"/>
  <c r="S77" i="17"/>
  <c r="S33" i="8" s="1"/>
  <c r="S82" i="17"/>
  <c r="S41" i="6" s="1"/>
  <c r="S75" i="17"/>
  <c r="S23" i="5" s="1"/>
  <c r="S19" i="5" s="1"/>
  <c r="S20" i="5" s="1"/>
  <c r="S80" i="17"/>
  <c r="S85" i="17"/>
  <c r="S21" i="5" s="1"/>
  <c r="S78" i="17"/>
  <c r="S83" i="17"/>
  <c r="S42" i="6" s="1"/>
  <c r="S76" i="17"/>
  <c r="H30" i="13"/>
  <c r="M56" i="6"/>
  <c r="M55" i="6"/>
  <c r="M58" i="6"/>
  <c r="H71" i="2"/>
  <c r="S23" i="17"/>
  <c r="T69" i="17"/>
  <c r="T20" i="7" s="1"/>
  <c r="T28" i="9" s="1"/>
  <c r="T22" i="9"/>
  <c r="Q43" i="9"/>
  <c r="Q39" i="9"/>
  <c r="S24" i="17"/>
  <c r="T71" i="17"/>
  <c r="T27" i="7" s="1"/>
  <c r="T35" i="7"/>
  <c r="Q32" i="5"/>
  <c r="Q51" i="5"/>
  <c r="Q56" i="5" s="1"/>
  <c r="Q12" i="6"/>
  <c r="Q13" i="6" s="1"/>
  <c r="S20" i="17"/>
  <c r="S41" i="5" s="1"/>
  <c r="J35" i="8"/>
  <c r="J34" i="8"/>
  <c r="E72" i="2"/>
  <c r="S32" i="17"/>
  <c r="T70" i="17"/>
  <c r="T25" i="7" s="1"/>
  <c r="T26" i="9" s="1"/>
  <c r="P28" i="6"/>
  <c r="I30" i="8"/>
  <c r="J26" i="8"/>
  <c r="J27" i="8" s="1"/>
  <c r="T13" i="17"/>
  <c r="T12" i="17"/>
  <c r="S19" i="17"/>
  <c r="R22" i="5"/>
  <c r="U48" i="9"/>
  <c r="T16" i="7"/>
  <c r="T29" i="8"/>
  <c r="S27" i="17"/>
  <c r="S25" i="6" s="1"/>
  <c r="N33" i="6"/>
  <c r="N35" i="6" s="1"/>
  <c r="N30" i="6"/>
  <c r="N52" i="6"/>
  <c r="S22" i="17"/>
  <c r="S55" i="5" s="1"/>
  <c r="S29" i="9"/>
  <c r="S30" i="9" s="1"/>
  <c r="M13" i="8"/>
  <c r="M14" i="8" s="1"/>
  <c r="R30" i="7"/>
  <c r="R32" i="7" s="1"/>
  <c r="R36" i="7"/>
  <c r="U5" i="17"/>
  <c r="U5" i="9"/>
  <c r="U5" i="8"/>
  <c r="U5" i="6"/>
  <c r="U10" i="4"/>
  <c r="U11" i="4" s="1"/>
  <c r="U5" i="5"/>
  <c r="U5" i="7"/>
  <c r="Q30" i="5"/>
  <c r="U7" i="17"/>
  <c r="U7" i="9"/>
  <c r="U7" i="7"/>
  <c r="U7" i="6"/>
  <c r="U7" i="5"/>
  <c r="U4" i="4"/>
  <c r="U7" i="8"/>
  <c r="T4" i="17"/>
  <c r="T4" i="9"/>
  <c r="T4" i="6"/>
  <c r="T4" i="7"/>
  <c r="T4" i="8"/>
  <c r="T4" i="5"/>
  <c r="O69" i="2"/>
  <c r="R12" i="8"/>
  <c r="R53" i="9"/>
  <c r="Q19" i="6"/>
  <c r="Q12" i="9" s="1"/>
  <c r="U51" i="9"/>
  <c r="Q26" i="5"/>
  <c r="R41" i="9"/>
  <c r="R36" i="9" s="1"/>
  <c r="R18" i="6"/>
  <c r="Q45" i="6"/>
  <c r="R28" i="5"/>
  <c r="R29" i="5" s="1"/>
  <c r="R30" i="5" s="1"/>
  <c r="U6" i="17"/>
  <c r="U6" i="8"/>
  <c r="U6" i="6"/>
  <c r="U6" i="7"/>
  <c r="U6" i="5"/>
  <c r="U6" i="9"/>
  <c r="K35" i="8"/>
  <c r="K34" i="8"/>
  <c r="F72" i="2"/>
  <c r="T12" i="5"/>
  <c r="S30" i="17"/>
  <c r="R48" i="5"/>
  <c r="R40" i="6"/>
  <c r="R43" i="6"/>
  <c r="R35" i="17"/>
  <c r="R34" i="5" s="1"/>
  <c r="R36" i="5" s="1"/>
  <c r="P54" i="5"/>
  <c r="P52" i="5"/>
  <c r="P53" i="5" s="1"/>
  <c r="T31" i="9"/>
  <c r="R36" i="17"/>
  <c r="R50" i="5" s="1"/>
  <c r="V8" i="17"/>
  <c r="V14" i="17" s="1"/>
  <c r="V8" i="9"/>
  <c r="V8" i="8"/>
  <c r="V8" i="6"/>
  <c r="V6" i="4"/>
  <c r="V5" i="4"/>
  <c r="V8" i="5"/>
  <c r="V7" i="4"/>
  <c r="W8" i="4"/>
  <c r="V8" i="7"/>
  <c r="V9" i="4"/>
  <c r="V10" i="9" s="1"/>
  <c r="T22" i="17" l="1"/>
  <c r="T55" i="5" s="1"/>
  <c r="T41" i="9" s="1"/>
  <c r="E7" i="14"/>
  <c r="T30" i="17"/>
  <c r="T31" i="17"/>
  <c r="T31" i="6" s="1"/>
  <c r="T26" i="17"/>
  <c r="T24" i="6" s="1"/>
  <c r="T21" i="17"/>
  <c r="T43" i="5" s="1"/>
  <c r="T16" i="6" s="1"/>
  <c r="T27" i="17"/>
  <c r="T25" i="6" s="1"/>
  <c r="R22" i="8"/>
  <c r="T21" i="7"/>
  <c r="T34" i="7" s="1"/>
  <c r="T25" i="17"/>
  <c r="T23" i="6" s="1"/>
  <c r="T32" i="17"/>
  <c r="T29" i="9"/>
  <c r="T30" i="9" s="1"/>
  <c r="T32" i="9" s="1"/>
  <c r="U18" i="7"/>
  <c r="U42" i="9" s="1"/>
  <c r="V40" i="9" s="1"/>
  <c r="E22" i="14"/>
  <c r="S27" i="6"/>
  <c r="T26" i="7"/>
  <c r="R43" i="9"/>
  <c r="R39" i="9"/>
  <c r="M32" i="8"/>
  <c r="M25" i="8"/>
  <c r="Q20" i="6"/>
  <c r="Q11" i="9"/>
  <c r="P57" i="6"/>
  <c r="P62" i="5"/>
  <c r="K70" i="2"/>
  <c r="P44" i="6"/>
  <c r="T40" i="5"/>
  <c r="E38" i="14" s="1"/>
  <c r="T15" i="6"/>
  <c r="E32" i="14"/>
  <c r="T14" i="9"/>
  <c r="T23" i="9" s="1"/>
  <c r="T15" i="5"/>
  <c r="T42" i="5"/>
  <c r="T10" i="6"/>
  <c r="Q21" i="9"/>
  <c r="Q25" i="9"/>
  <c r="U68" i="17"/>
  <c r="U15" i="7" s="1"/>
  <c r="U20" i="9" s="1"/>
  <c r="N53" i="6"/>
  <c r="N54" i="6" s="1"/>
  <c r="V48" i="9"/>
  <c r="U29" i="8"/>
  <c r="V51" i="9"/>
  <c r="U71" i="17"/>
  <c r="U27" i="7" s="1"/>
  <c r="U35" i="7"/>
  <c r="U22" i="9"/>
  <c r="E30" i="14"/>
  <c r="T39" i="6"/>
  <c r="S36" i="17"/>
  <c r="S50" i="5" s="1"/>
  <c r="F29" i="14"/>
  <c r="G29" i="14" s="1"/>
  <c r="U11" i="5"/>
  <c r="U13" i="5"/>
  <c r="E28" i="14"/>
  <c r="T28" i="7"/>
  <c r="P15" i="9"/>
  <c r="P19" i="9"/>
  <c r="P27" i="9"/>
  <c r="T49" i="9"/>
  <c r="S45" i="5"/>
  <c r="S46" i="5" s="1"/>
  <c r="S24" i="5"/>
  <c r="S25" i="5" s="1"/>
  <c r="S26" i="5" s="1"/>
  <c r="S11" i="6"/>
  <c r="Q59" i="5"/>
  <c r="Q63" i="5"/>
  <c r="Q28" i="6"/>
  <c r="Q60" i="5"/>
  <c r="Q61" i="5" s="1"/>
  <c r="S16" i="8"/>
  <c r="S35" i="9"/>
  <c r="L25" i="8"/>
  <c r="L32" i="8"/>
  <c r="U4" i="17"/>
  <c r="U4" i="9"/>
  <c r="U4" i="6"/>
  <c r="U4" i="7"/>
  <c r="U4" i="8"/>
  <c r="U4" i="5"/>
  <c r="P69" i="2"/>
  <c r="O30" i="6"/>
  <c r="O52" i="6"/>
  <c r="O33" i="6"/>
  <c r="O35" i="6" s="1"/>
  <c r="T79" i="17"/>
  <c r="T84" i="17"/>
  <c r="T47" i="5" s="1"/>
  <c r="T77" i="17"/>
  <c r="T33" i="8" s="1"/>
  <c r="T82" i="17"/>
  <c r="T41" i="6" s="1"/>
  <c r="T75" i="17"/>
  <c r="T23" i="5" s="1"/>
  <c r="T80" i="17"/>
  <c r="T85" i="17"/>
  <c r="T21" i="5" s="1"/>
  <c r="T78" i="17"/>
  <c r="T83" i="17"/>
  <c r="T42" i="6" s="1"/>
  <c r="T76" i="17"/>
  <c r="T81" i="17"/>
  <c r="T38" i="6" s="1"/>
  <c r="V34" i="9"/>
  <c r="R12" i="6"/>
  <c r="R13" i="6" s="1"/>
  <c r="R51" i="5"/>
  <c r="R56" i="5" s="1"/>
  <c r="R32" i="5"/>
  <c r="T40" i="17"/>
  <c r="T51" i="6" s="1"/>
  <c r="T45" i="17"/>
  <c r="T43" i="17"/>
  <c r="T41" i="17"/>
  <c r="T46" i="17"/>
  <c r="T23" i="8" s="1"/>
  <c r="T39" i="17"/>
  <c r="T44" i="17"/>
  <c r="T42" i="17"/>
  <c r="R45" i="6"/>
  <c r="S17" i="8"/>
  <c r="U10" i="17"/>
  <c r="U11" i="17"/>
  <c r="U9" i="17"/>
  <c r="S22" i="5"/>
  <c r="E11" i="14"/>
  <c r="F11" i="14"/>
  <c r="V6" i="9"/>
  <c r="V6" i="17"/>
  <c r="V6" i="6"/>
  <c r="V6" i="7"/>
  <c r="V6" i="5"/>
  <c r="V6" i="8"/>
  <c r="T33" i="17"/>
  <c r="T34" i="6" s="1"/>
  <c r="S54" i="9"/>
  <c r="S20" i="8"/>
  <c r="J30" i="8"/>
  <c r="K26" i="8"/>
  <c r="K27" i="8" s="1"/>
  <c r="S21" i="8"/>
  <c r="E24" i="14"/>
  <c r="F24" i="14"/>
  <c r="S48" i="5"/>
  <c r="T28" i="17"/>
  <c r="T26" i="6" s="1"/>
  <c r="J29" i="13"/>
  <c r="I29" i="13"/>
  <c r="R58" i="5"/>
  <c r="U69" i="17"/>
  <c r="U20" i="7" s="1"/>
  <c r="U28" i="9" s="1"/>
  <c r="F7" i="14"/>
  <c r="F8" i="14" s="1"/>
  <c r="E50" i="14"/>
  <c r="E8" i="14"/>
  <c r="P29" i="6"/>
  <c r="P21" i="6"/>
  <c r="S50" i="6"/>
  <c r="S11" i="8" s="1"/>
  <c r="E25" i="14"/>
  <c r="F25" i="14"/>
  <c r="R38" i="9"/>
  <c r="W8" i="17"/>
  <c r="W14" i="17" s="1"/>
  <c r="W8" i="9"/>
  <c r="W8" i="8"/>
  <c r="W8" i="7"/>
  <c r="W8" i="6"/>
  <c r="W5" i="4"/>
  <c r="W8" i="5"/>
  <c r="W7" i="4"/>
  <c r="W9" i="4"/>
  <c r="W10" i="9" s="1"/>
  <c r="W6" i="4"/>
  <c r="X8" i="4"/>
  <c r="S37" i="17"/>
  <c r="S32" i="6" s="1"/>
  <c r="U13" i="17"/>
  <c r="U17" i="17" s="1"/>
  <c r="U17" i="5" s="1"/>
  <c r="U12" i="17"/>
  <c r="T23" i="17"/>
  <c r="Q54" i="5"/>
  <c r="Q52" i="5"/>
  <c r="Q53" i="5" s="1"/>
  <c r="R37" i="5"/>
  <c r="R38" i="5"/>
  <c r="S28" i="5"/>
  <c r="S29" i="5" s="1"/>
  <c r="S30" i="5" s="1"/>
  <c r="S16" i="6"/>
  <c r="S44" i="5"/>
  <c r="S12" i="8"/>
  <c r="S53" i="9"/>
  <c r="S32" i="7"/>
  <c r="S34" i="7"/>
  <c r="S40" i="6"/>
  <c r="S43" i="6"/>
  <c r="S45" i="6" s="1"/>
  <c r="S14" i="9"/>
  <c r="S23" i="9" s="1"/>
  <c r="S15" i="5"/>
  <c r="S16" i="5" s="1"/>
  <c r="S10" i="6"/>
  <c r="S42" i="5"/>
  <c r="T18" i="17"/>
  <c r="T27" i="5" s="1"/>
  <c r="S18" i="6"/>
  <c r="S41" i="9"/>
  <c r="S36" i="9" s="1"/>
  <c r="N52" i="9"/>
  <c r="N55" i="9" s="1"/>
  <c r="N10" i="8"/>
  <c r="N36" i="6"/>
  <c r="U70" i="17"/>
  <c r="U25" i="7" s="1"/>
  <c r="U26" i="9" s="1"/>
  <c r="S35" i="17"/>
  <c r="S34" i="5" s="1"/>
  <c r="S36" i="5" s="1"/>
  <c r="U12" i="5"/>
  <c r="I30" i="13"/>
  <c r="J30" i="13"/>
  <c r="V7" i="17"/>
  <c r="V7" i="7"/>
  <c r="V7" i="9"/>
  <c r="V7" i="6"/>
  <c r="V7" i="5"/>
  <c r="V7" i="8"/>
  <c r="V4" i="4"/>
  <c r="V5" i="17"/>
  <c r="V5" i="9"/>
  <c r="V5" i="8"/>
  <c r="V5" i="6"/>
  <c r="V10" i="4"/>
  <c r="V11" i="4" s="1"/>
  <c r="V5" i="5"/>
  <c r="V5" i="7"/>
  <c r="V63" i="17"/>
  <c r="V74" i="17"/>
  <c r="V64" i="5" s="1"/>
  <c r="V51" i="17"/>
  <c r="V12" i="7" s="1"/>
  <c r="V16" i="9" s="1"/>
  <c r="V56" i="17"/>
  <c r="V61" i="17"/>
  <c r="V23" i="7" s="1"/>
  <c r="V66" i="17"/>
  <c r="V29" i="7" s="1"/>
  <c r="V56" i="9" s="1"/>
  <c r="V49" i="17"/>
  <c r="V10" i="7" s="1"/>
  <c r="V54" i="17"/>
  <c r="V59" i="17"/>
  <c r="V64" i="17"/>
  <c r="V52" i="17"/>
  <c r="V13" i="7" s="1"/>
  <c r="V18" i="9" s="1"/>
  <c r="V31" i="9" s="1"/>
  <c r="V57" i="17"/>
  <c r="V62" i="17"/>
  <c r="V24" i="7" s="1"/>
  <c r="V24" i="9" s="1"/>
  <c r="V67" i="17"/>
  <c r="V73" i="17"/>
  <c r="V10" i="5" s="1"/>
  <c r="V50" i="17"/>
  <c r="V11" i="7" s="1"/>
  <c r="V47" i="9" s="1"/>
  <c r="W45" i="9" s="1"/>
  <c r="V55" i="17"/>
  <c r="V17" i="7" s="1"/>
  <c r="V37" i="9" s="1"/>
  <c r="V60" i="17"/>
  <c r="V33" i="7" s="1"/>
  <c r="V65" i="17"/>
  <c r="V48" i="17"/>
  <c r="V28" i="8" s="1"/>
  <c r="V53" i="17"/>
  <c r="V14" i="7" s="1"/>
  <c r="V58" i="17"/>
  <c r="V19" i="7" s="1"/>
  <c r="R13" i="9"/>
  <c r="R17" i="9" s="1"/>
  <c r="R17" i="6"/>
  <c r="R19" i="6" s="1"/>
  <c r="R12" i="9" s="1"/>
  <c r="R49" i="5"/>
  <c r="S32" i="9"/>
  <c r="S40" i="5"/>
  <c r="S15" i="6"/>
  <c r="E16" i="14"/>
  <c r="F16" i="14"/>
  <c r="T18" i="6" l="1"/>
  <c r="T37" i="17"/>
  <c r="T32" i="6" s="1"/>
  <c r="T36" i="17"/>
  <c r="T50" i="5" s="1"/>
  <c r="T28" i="5"/>
  <c r="T44" i="5"/>
  <c r="V18" i="7"/>
  <c r="V42" i="9" s="1"/>
  <c r="W40" i="9" s="1"/>
  <c r="U16" i="7"/>
  <c r="U21" i="7" s="1"/>
  <c r="U34" i="7" s="1"/>
  <c r="U29" i="9"/>
  <c r="U30" i="9" s="1"/>
  <c r="U32" i="9" s="1"/>
  <c r="U24" i="17"/>
  <c r="T35" i="17"/>
  <c r="T34" i="5" s="1"/>
  <c r="T12" i="6" s="1"/>
  <c r="U20" i="17"/>
  <c r="U41" i="5" s="1"/>
  <c r="U42" i="5" s="1"/>
  <c r="U32" i="17"/>
  <c r="U30" i="17"/>
  <c r="U22" i="17"/>
  <c r="U55" i="5" s="1"/>
  <c r="U18" i="6" s="1"/>
  <c r="T36" i="5"/>
  <c r="T37" i="5" s="1"/>
  <c r="U18" i="17"/>
  <c r="U27" i="5" s="1"/>
  <c r="F37" i="14" s="1"/>
  <c r="U25" i="17"/>
  <c r="U23" i="6" s="1"/>
  <c r="U27" i="17"/>
  <c r="U25" i="6" s="1"/>
  <c r="Q62" i="5"/>
  <c r="L70" i="2"/>
  <c r="Q57" i="6"/>
  <c r="Q44" i="6"/>
  <c r="H31" i="13"/>
  <c r="N55" i="6"/>
  <c r="N56" i="6"/>
  <c r="I71" i="2"/>
  <c r="N58" i="6"/>
  <c r="T29" i="5"/>
  <c r="F23" i="14"/>
  <c r="S37" i="5"/>
  <c r="S38" i="5"/>
  <c r="W74" i="17"/>
  <c r="W64" i="5" s="1"/>
  <c r="W51" i="17"/>
  <c r="W12" i="7" s="1"/>
  <c r="W16" i="9" s="1"/>
  <c r="W56" i="17"/>
  <c r="W61" i="17"/>
  <c r="W23" i="7" s="1"/>
  <c r="W66" i="17"/>
  <c r="W29" i="7" s="1"/>
  <c r="W56" i="9" s="1"/>
  <c r="W49" i="17"/>
  <c r="W10" i="7" s="1"/>
  <c r="W54" i="17"/>
  <c r="W59" i="17"/>
  <c r="W64" i="17"/>
  <c r="W52" i="17"/>
  <c r="W13" i="7" s="1"/>
  <c r="W18" i="9" s="1"/>
  <c r="W57" i="17"/>
  <c r="W62" i="17"/>
  <c r="W24" i="7" s="1"/>
  <c r="W24" i="9" s="1"/>
  <c r="W67" i="17"/>
  <c r="W73" i="17"/>
  <c r="W10" i="5" s="1"/>
  <c r="W12" i="5" s="1"/>
  <c r="W39" i="6" s="1"/>
  <c r="W50" i="17"/>
  <c r="W11" i="7" s="1"/>
  <c r="W47" i="9" s="1"/>
  <c r="X45" i="9" s="1"/>
  <c r="W55" i="17"/>
  <c r="W17" i="7" s="1"/>
  <c r="W37" i="9" s="1"/>
  <c r="W60" i="17"/>
  <c r="W65" i="17"/>
  <c r="W48" i="17"/>
  <c r="W28" i="8" s="1"/>
  <c r="W53" i="17"/>
  <c r="W14" i="7" s="1"/>
  <c r="X14" i="7" s="1"/>
  <c r="Y14" i="7" s="1"/>
  <c r="Z14" i="7" s="1"/>
  <c r="AA14" i="7" s="1"/>
  <c r="AB14" i="7" s="1"/>
  <c r="AC14" i="7" s="1"/>
  <c r="AD14" i="7" s="1"/>
  <c r="AE14" i="7" s="1"/>
  <c r="AF14" i="7" s="1"/>
  <c r="AG14" i="7" s="1"/>
  <c r="AH14" i="7" s="1"/>
  <c r="AI14" i="7" s="1"/>
  <c r="AJ14" i="7" s="1"/>
  <c r="AK14" i="7" s="1"/>
  <c r="W58" i="17"/>
  <c r="W19" i="7" s="1"/>
  <c r="X19" i="7" s="1"/>
  <c r="Y19" i="7" s="1"/>
  <c r="Z19" i="7" s="1"/>
  <c r="AA19" i="7" s="1"/>
  <c r="AB19" i="7" s="1"/>
  <c r="AC19" i="7" s="1"/>
  <c r="AD19" i="7" s="1"/>
  <c r="AE19" i="7" s="1"/>
  <c r="AF19" i="7" s="1"/>
  <c r="AG19" i="7" s="1"/>
  <c r="AH19" i="7" s="1"/>
  <c r="AI19" i="7" s="1"/>
  <c r="AJ19" i="7" s="1"/>
  <c r="AK19" i="7" s="1"/>
  <c r="W63" i="17"/>
  <c r="F28" i="14"/>
  <c r="G28" i="14" s="1"/>
  <c r="G25" i="14"/>
  <c r="F32" i="14"/>
  <c r="G32" i="14" s="1"/>
  <c r="U15" i="5"/>
  <c r="U14" i="9"/>
  <c r="U23" i="9" s="1"/>
  <c r="U10" i="6"/>
  <c r="O10" i="8"/>
  <c r="O36" i="6"/>
  <c r="O52" i="9"/>
  <c r="O55" i="9" s="1"/>
  <c r="U40" i="17"/>
  <c r="U51" i="6" s="1"/>
  <c r="U45" i="17"/>
  <c r="U43" i="17"/>
  <c r="U41" i="17"/>
  <c r="U46" i="17"/>
  <c r="U23" i="8" s="1"/>
  <c r="U39" i="17"/>
  <c r="U44" i="17"/>
  <c r="U42" i="17"/>
  <c r="O53" i="6"/>
  <c r="O54" i="6" s="1"/>
  <c r="E23" i="14"/>
  <c r="S22" i="8"/>
  <c r="U34" i="17"/>
  <c r="U26" i="7"/>
  <c r="U28" i="7" s="1"/>
  <c r="U29" i="17"/>
  <c r="E45" i="14"/>
  <c r="G7" i="14"/>
  <c r="G50" i="14" s="1"/>
  <c r="F50" i="14"/>
  <c r="R11" i="9"/>
  <c r="R20" i="6"/>
  <c r="V11" i="5"/>
  <c r="V13" i="5"/>
  <c r="T53" i="9"/>
  <c r="T12" i="8"/>
  <c r="T36" i="7"/>
  <c r="T30" i="7"/>
  <c r="T32" i="7" s="1"/>
  <c r="V71" i="17"/>
  <c r="V27" i="7" s="1"/>
  <c r="V35" i="7"/>
  <c r="N13" i="8"/>
  <c r="N14" i="8" s="1"/>
  <c r="R54" i="5"/>
  <c r="R52" i="5"/>
  <c r="R53" i="5" s="1"/>
  <c r="S18" i="8"/>
  <c r="R25" i="9"/>
  <c r="R21" i="9"/>
  <c r="S39" i="9"/>
  <c r="S43" i="9"/>
  <c r="K30" i="8"/>
  <c r="L26" i="8"/>
  <c r="L27" i="8" s="1"/>
  <c r="R63" i="5"/>
  <c r="R59" i="5"/>
  <c r="R28" i="6"/>
  <c r="R60" i="5"/>
  <c r="R61" i="5" s="1"/>
  <c r="T21" i="8"/>
  <c r="U26" i="17"/>
  <c r="U24" i="6" s="1"/>
  <c r="Q15" i="9"/>
  <c r="Q27" i="9"/>
  <c r="Q19" i="9"/>
  <c r="T17" i="6"/>
  <c r="T19" i="6" s="1"/>
  <c r="T12" i="9" s="1"/>
  <c r="T13" i="9"/>
  <c r="T17" i="9" s="1"/>
  <c r="T49" i="5"/>
  <c r="L35" i="8"/>
  <c r="L34" i="8"/>
  <c r="G72" i="2"/>
  <c r="F12" i="14"/>
  <c r="V22" i="9"/>
  <c r="S58" i="5"/>
  <c r="W5" i="17"/>
  <c r="W5" i="9"/>
  <c r="W5" i="5"/>
  <c r="W5" i="8"/>
  <c r="W5" i="6"/>
  <c r="W5" i="7"/>
  <c r="W10" i="4"/>
  <c r="W11" i="4" s="1"/>
  <c r="U21" i="17"/>
  <c r="U43" i="5" s="1"/>
  <c r="U45" i="5" s="1"/>
  <c r="Q29" i="6"/>
  <c r="Q21" i="6"/>
  <c r="P30" i="6"/>
  <c r="P33" i="6"/>
  <c r="P35" i="6" s="1"/>
  <c r="P52" i="6"/>
  <c r="T17" i="8"/>
  <c r="W51" i="9"/>
  <c r="E37" i="14"/>
  <c r="T24" i="5"/>
  <c r="T45" i="5"/>
  <c r="T58" i="5" s="1"/>
  <c r="T11" i="6"/>
  <c r="W7" i="17"/>
  <c r="W7" i="7"/>
  <c r="W7" i="9"/>
  <c r="W7" i="6"/>
  <c r="W7" i="8"/>
  <c r="W4" i="4"/>
  <c r="W7" i="5"/>
  <c r="U31" i="17"/>
  <c r="U31" i="6" s="1"/>
  <c r="V70" i="17"/>
  <c r="V25" i="7" s="1"/>
  <c r="V26" i="9" s="1"/>
  <c r="U79" i="17"/>
  <c r="U84" i="17"/>
  <c r="U47" i="5" s="1"/>
  <c r="U77" i="17"/>
  <c r="U33" i="8" s="1"/>
  <c r="U82" i="17"/>
  <c r="U41" i="6" s="1"/>
  <c r="U75" i="17"/>
  <c r="U23" i="5" s="1"/>
  <c r="U80" i="17"/>
  <c r="U85" i="17"/>
  <c r="U21" i="5" s="1"/>
  <c r="U78" i="17"/>
  <c r="U83" i="17"/>
  <c r="U42" i="6" s="1"/>
  <c r="U76" i="17"/>
  <c r="U81" i="17"/>
  <c r="U38" i="6" s="1"/>
  <c r="E39" i="14"/>
  <c r="S17" i="6"/>
  <c r="S19" i="6" s="1"/>
  <c r="S12" i="9" s="1"/>
  <c r="S13" i="9"/>
  <c r="S17" i="9" s="1"/>
  <c r="S49" i="5"/>
  <c r="G24" i="14"/>
  <c r="T54" i="9"/>
  <c r="T20" i="8"/>
  <c r="S12" i="6"/>
  <c r="S13" i="6" s="1"/>
  <c r="S51" i="5"/>
  <c r="S56" i="5" s="1"/>
  <c r="S32" i="5"/>
  <c r="V69" i="17"/>
  <c r="V20" i="7" s="1"/>
  <c r="V28" i="9" s="1"/>
  <c r="W48" i="9"/>
  <c r="V29" i="8"/>
  <c r="E9" i="14"/>
  <c r="E10" i="14" s="1"/>
  <c r="F9" i="14"/>
  <c r="F10" i="14" s="1"/>
  <c r="U33" i="17"/>
  <c r="U34" i="6" s="1"/>
  <c r="E44" i="14"/>
  <c r="T40" i="6"/>
  <c r="T43" i="6"/>
  <c r="E31" i="14"/>
  <c r="T16" i="5"/>
  <c r="M34" i="8"/>
  <c r="H72" i="2"/>
  <c r="M35" i="8"/>
  <c r="E34" i="14"/>
  <c r="T19" i="5"/>
  <c r="V4" i="17"/>
  <c r="V4" i="9"/>
  <c r="V4" i="7"/>
  <c r="V4" i="6"/>
  <c r="V4" i="5"/>
  <c r="V4" i="8"/>
  <c r="Q69" i="2"/>
  <c r="E14" i="14"/>
  <c r="F14" i="14"/>
  <c r="T16" i="8"/>
  <c r="T35" i="9"/>
  <c r="E13" i="14"/>
  <c r="F13" i="14"/>
  <c r="F30" i="14"/>
  <c r="U39" i="6"/>
  <c r="U28" i="17"/>
  <c r="U26" i="6" s="1"/>
  <c r="T48" i="5"/>
  <c r="W34" i="9"/>
  <c r="V10" i="17"/>
  <c r="V11" i="17"/>
  <c r="V9" i="17"/>
  <c r="V29" i="17" s="1"/>
  <c r="T36" i="9"/>
  <c r="T50" i="6"/>
  <c r="T11" i="8" s="1"/>
  <c r="V13" i="17"/>
  <c r="V12" i="17"/>
  <c r="V68" i="17"/>
  <c r="V15" i="7" s="1"/>
  <c r="V20" i="9" s="1"/>
  <c r="X8" i="9"/>
  <c r="X8" i="8"/>
  <c r="X8" i="7"/>
  <c r="X8" i="6"/>
  <c r="X8" i="5"/>
  <c r="X7" i="4"/>
  <c r="Y8" i="4"/>
  <c r="X5" i="4"/>
  <c r="X9" i="4"/>
  <c r="X10" i="9" s="1"/>
  <c r="X6" i="4"/>
  <c r="E12" i="14"/>
  <c r="W6" i="17"/>
  <c r="W6" i="9"/>
  <c r="W6" i="6"/>
  <c r="W6" i="7"/>
  <c r="W6" i="5"/>
  <c r="W6" i="8"/>
  <c r="U19" i="17"/>
  <c r="S38" i="9"/>
  <c r="T27" i="6"/>
  <c r="U23" i="17"/>
  <c r="E46" i="14"/>
  <c r="V12" i="5"/>
  <c r="V39" i="6" s="1"/>
  <c r="E58" i="14"/>
  <c r="T32" i="5" l="1"/>
  <c r="R14" i="4"/>
  <c r="T51" i="5"/>
  <c r="S14" i="4"/>
  <c r="V26" i="17"/>
  <c r="V24" i="6" s="1"/>
  <c r="V21" i="17"/>
  <c r="V43" i="5" s="1"/>
  <c r="U14" i="4"/>
  <c r="T38" i="5"/>
  <c r="U40" i="5"/>
  <c r="F38" i="14" s="1"/>
  <c r="F58" i="14" s="1"/>
  <c r="G58" i="14" s="1"/>
  <c r="U15" i="6"/>
  <c r="T13" i="6"/>
  <c r="T20" i="6" s="1"/>
  <c r="U24" i="5"/>
  <c r="U11" i="6"/>
  <c r="U35" i="17"/>
  <c r="U34" i="5" s="1"/>
  <c r="U36" i="5" s="1"/>
  <c r="U37" i="5" s="1"/>
  <c r="U21" i="8"/>
  <c r="U17" i="8"/>
  <c r="E57" i="14"/>
  <c r="U41" i="9"/>
  <c r="U36" i="9" s="1"/>
  <c r="G37" i="14"/>
  <c r="W18" i="7"/>
  <c r="W42" i="9" s="1"/>
  <c r="X40" i="9" s="1"/>
  <c r="G23" i="14"/>
  <c r="E17" i="14"/>
  <c r="E51" i="14"/>
  <c r="G10" i="14"/>
  <c r="G51" i="14" s="1"/>
  <c r="R62" i="5"/>
  <c r="R57" i="6"/>
  <c r="M70" i="2"/>
  <c r="R44" i="6"/>
  <c r="U25" i="5"/>
  <c r="S25" i="9"/>
  <c r="S21" i="9"/>
  <c r="N32" i="8"/>
  <c r="N25" i="8"/>
  <c r="T63" i="5"/>
  <c r="T59" i="5"/>
  <c r="T60" i="5"/>
  <c r="E41" i="14" s="1"/>
  <c r="H32" i="13"/>
  <c r="O55" i="6"/>
  <c r="O56" i="6"/>
  <c r="J71" i="2"/>
  <c r="O58" i="6"/>
  <c r="W71" i="17"/>
  <c r="W27" i="7" s="1"/>
  <c r="X27" i="7" s="1"/>
  <c r="Y27" i="7" s="1"/>
  <c r="Z27" i="7" s="1"/>
  <c r="AA27" i="7" s="1"/>
  <c r="AB27" i="7" s="1"/>
  <c r="AC27" i="7" s="1"/>
  <c r="AD27" i="7" s="1"/>
  <c r="AE27" i="7" s="1"/>
  <c r="AF27" i="7" s="1"/>
  <c r="AG27" i="7" s="1"/>
  <c r="AH27" i="7" s="1"/>
  <c r="AI27" i="7" s="1"/>
  <c r="AJ27" i="7" s="1"/>
  <c r="AK27" i="7" s="1"/>
  <c r="W35" i="7"/>
  <c r="R29" i="6"/>
  <c r="R21" i="6"/>
  <c r="R15" i="9"/>
  <c r="R19" i="9"/>
  <c r="R27" i="9"/>
  <c r="E56" i="14"/>
  <c r="X51" i="9"/>
  <c r="E33" i="14"/>
  <c r="E59" i="14" s="1"/>
  <c r="T20" i="5"/>
  <c r="T22" i="5" s="1"/>
  <c r="W68" i="17"/>
  <c r="W15" i="7" s="1"/>
  <c r="W20" i="9" s="1"/>
  <c r="W26" i="7"/>
  <c r="W22" i="9"/>
  <c r="W69" i="17"/>
  <c r="W20" i="7" s="1"/>
  <c r="W28" i="9" s="1"/>
  <c r="G39" i="14"/>
  <c r="T39" i="9"/>
  <c r="T43" i="9"/>
  <c r="T21" i="9"/>
  <c r="T25" i="9"/>
  <c r="U37" i="17"/>
  <c r="U32" i="6" s="1"/>
  <c r="F40" i="14"/>
  <c r="U46" i="5"/>
  <c r="T56" i="5"/>
  <c r="V24" i="17"/>
  <c r="V19" i="17"/>
  <c r="F46" i="14"/>
  <c r="F66" i="14" s="1"/>
  <c r="P53" i="6"/>
  <c r="P54" i="6" s="1"/>
  <c r="U53" i="9"/>
  <c r="U12" i="8"/>
  <c r="X48" i="9"/>
  <c r="W29" i="8"/>
  <c r="F44" i="14"/>
  <c r="F64" i="14" s="1"/>
  <c r="U40" i="6"/>
  <c r="U43" i="6"/>
  <c r="E66" i="14"/>
  <c r="U36" i="17"/>
  <c r="U50" i="5" s="1"/>
  <c r="V31" i="17"/>
  <c r="V31" i="6" s="1"/>
  <c r="V49" i="9" s="1"/>
  <c r="P52" i="9"/>
  <c r="P55" i="9" s="1"/>
  <c r="P36" i="6"/>
  <c r="P10" i="8"/>
  <c r="U27" i="6"/>
  <c r="O13" i="8"/>
  <c r="O14" i="8" s="1"/>
  <c r="T28" i="6"/>
  <c r="T54" i="5"/>
  <c r="V28" i="17"/>
  <c r="V26" i="6" s="1"/>
  <c r="U28" i="5"/>
  <c r="U16" i="6"/>
  <c r="U44" i="5"/>
  <c r="F31" i="14"/>
  <c r="F57" i="14" s="1"/>
  <c r="G57" i="14" s="1"/>
  <c r="U16" i="5"/>
  <c r="U32" i="5"/>
  <c r="U12" i="6"/>
  <c r="U13" i="6" s="1"/>
  <c r="V23" i="17"/>
  <c r="G44" i="14"/>
  <c r="E64" i="14"/>
  <c r="U48" i="5"/>
  <c r="F34" i="14"/>
  <c r="G34" i="14" s="1"/>
  <c r="U19" i="5"/>
  <c r="F17" i="14"/>
  <c r="F51" i="14"/>
  <c r="V29" i="9"/>
  <c r="V30" i="9" s="1"/>
  <c r="U36" i="7"/>
  <c r="U30" i="7"/>
  <c r="U32" i="7" s="1"/>
  <c r="E36" i="14"/>
  <c r="E61" i="14" s="1"/>
  <c r="T30" i="5"/>
  <c r="T45" i="6"/>
  <c r="F39" i="14"/>
  <c r="U58" i="5"/>
  <c r="U60" i="5" s="1"/>
  <c r="F41" i="14" s="1"/>
  <c r="F56" i="14"/>
  <c r="V16" i="7"/>
  <c r="V21" i="7" s="1"/>
  <c r="W70" i="17"/>
  <c r="W25" i="7" s="1"/>
  <c r="W26" i="9" s="1"/>
  <c r="V25" i="17"/>
  <c r="V23" i="6" s="1"/>
  <c r="E14" i="4"/>
  <c r="F14" i="4"/>
  <c r="G14" i="4"/>
  <c r="J14" i="4"/>
  <c r="H14" i="4"/>
  <c r="K14" i="4"/>
  <c r="N14" i="4"/>
  <c r="M14" i="4"/>
  <c r="O14" i="4"/>
  <c r="P14" i="4"/>
  <c r="Q14" i="4"/>
  <c r="V14" i="4"/>
  <c r="W4" i="17"/>
  <c r="W4" i="9"/>
  <c r="W4" i="7"/>
  <c r="W4" i="6"/>
  <c r="W4" i="5"/>
  <c r="W4" i="8"/>
  <c r="R69" i="2"/>
  <c r="V27" i="17"/>
  <c r="V25" i="6" s="1"/>
  <c r="J31" i="13"/>
  <c r="I31" i="13"/>
  <c r="T14" i="4"/>
  <c r="F45" i="14"/>
  <c r="F65" i="14" s="1"/>
  <c r="W33" i="7"/>
  <c r="E9" i="16"/>
  <c r="G9" i="16" s="1"/>
  <c r="U49" i="9"/>
  <c r="T18" i="8"/>
  <c r="V22" i="17"/>
  <c r="V55" i="5" s="1"/>
  <c r="W14" i="4"/>
  <c r="V34" i="17"/>
  <c r="X34" i="9"/>
  <c r="T25" i="5"/>
  <c r="L30" i="8"/>
  <c r="M26" i="8"/>
  <c r="M27" i="8" s="1"/>
  <c r="V16" i="6"/>
  <c r="Q30" i="6"/>
  <c r="Q33" i="6"/>
  <c r="Q35" i="6" s="1"/>
  <c r="Q52" i="6"/>
  <c r="E65" i="14"/>
  <c r="V18" i="17"/>
  <c r="V27" i="5" s="1"/>
  <c r="V44" i="5" s="1"/>
  <c r="V30" i="17"/>
  <c r="V20" i="17"/>
  <c r="V41" i="5" s="1"/>
  <c r="V32" i="17"/>
  <c r="T52" i="5"/>
  <c r="T53" i="5" s="1"/>
  <c r="E43" i="14" s="1"/>
  <c r="Y8" i="8"/>
  <c r="Y8" i="7"/>
  <c r="Y8" i="6"/>
  <c r="Y8" i="5"/>
  <c r="Y7" i="4"/>
  <c r="Z8" i="4"/>
  <c r="Y5" i="4"/>
  <c r="Y6" i="4"/>
  <c r="Y9" i="4"/>
  <c r="Y10" i="9" s="1"/>
  <c r="Y8" i="9"/>
  <c r="V26" i="7"/>
  <c r="V28" i="7" s="1"/>
  <c r="U16" i="8"/>
  <c r="U35" i="9"/>
  <c r="E40" i="14"/>
  <c r="T46" i="5"/>
  <c r="V40" i="17"/>
  <c r="V51" i="6" s="1"/>
  <c r="V45" i="17"/>
  <c r="V43" i="17"/>
  <c r="V46" i="17"/>
  <c r="V23" i="8" s="1"/>
  <c r="V39" i="17"/>
  <c r="V44" i="17"/>
  <c r="V42" i="17"/>
  <c r="V41" i="17"/>
  <c r="S54" i="5"/>
  <c r="S52" i="5"/>
  <c r="S53" i="5" s="1"/>
  <c r="X7" i="6"/>
  <c r="X7" i="8"/>
  <c r="X4" i="4"/>
  <c r="X7" i="7"/>
  <c r="X14" i="4"/>
  <c r="X7" i="9"/>
  <c r="X7" i="5"/>
  <c r="T22" i="8"/>
  <c r="W10" i="17"/>
  <c r="W9" i="17"/>
  <c r="W26" i="17" s="1"/>
  <c r="W24" i="6" s="1"/>
  <c r="W11" i="17"/>
  <c r="F18" i="14"/>
  <c r="F15" i="14"/>
  <c r="F52" i="14" s="1"/>
  <c r="U54" i="9"/>
  <c r="U20" i="8"/>
  <c r="W11" i="5"/>
  <c r="W13" i="5"/>
  <c r="V79" i="17"/>
  <c r="V84" i="17"/>
  <c r="V47" i="5" s="1"/>
  <c r="V77" i="17"/>
  <c r="V33" i="8" s="1"/>
  <c r="V82" i="17"/>
  <c r="V41" i="6" s="1"/>
  <c r="V80" i="17"/>
  <c r="V85" i="17"/>
  <c r="V21" i="5" s="1"/>
  <c r="V78" i="17"/>
  <c r="V83" i="17"/>
  <c r="V42" i="6" s="1"/>
  <c r="V76" i="17"/>
  <c r="V81" i="17"/>
  <c r="V38" i="6" s="1"/>
  <c r="V75" i="17"/>
  <c r="V23" i="5" s="1"/>
  <c r="V19" i="5" s="1"/>
  <c r="V33" i="17"/>
  <c r="V34" i="6" s="1"/>
  <c r="S11" i="9"/>
  <c r="S20" i="6"/>
  <c r="W13" i="17"/>
  <c r="W12" i="17"/>
  <c r="T38" i="9"/>
  <c r="E18" i="14"/>
  <c r="E15" i="14"/>
  <c r="G12" i="14"/>
  <c r="X6" i="9"/>
  <c r="X6" i="7"/>
  <c r="X6" i="5"/>
  <c r="X6" i="6"/>
  <c r="X6" i="8"/>
  <c r="V17" i="17"/>
  <c r="V17" i="5" s="1"/>
  <c r="S63" i="5"/>
  <c r="S59" i="5"/>
  <c r="S28" i="6"/>
  <c r="S60" i="5"/>
  <c r="S61" i="5" s="1"/>
  <c r="W31" i="9"/>
  <c r="X5" i="9"/>
  <c r="X5" i="7"/>
  <c r="X5" i="6"/>
  <c r="X5" i="5"/>
  <c r="X10" i="4"/>
  <c r="X5" i="8"/>
  <c r="U50" i="6"/>
  <c r="U11" i="8" s="1"/>
  <c r="G64" i="14" l="1"/>
  <c r="W34" i="17"/>
  <c r="T11" i="9"/>
  <c r="T15" i="9" s="1"/>
  <c r="W17" i="17"/>
  <c r="W17" i="5" s="1"/>
  <c r="U38" i="5"/>
  <c r="W22" i="17"/>
  <c r="W55" i="5" s="1"/>
  <c r="E48" i="3" s="1"/>
  <c r="U22" i="8"/>
  <c r="W18" i="17"/>
  <c r="W27" i="5" s="1"/>
  <c r="W29" i="17"/>
  <c r="W24" i="17"/>
  <c r="W31" i="17"/>
  <c r="W31" i="6" s="1"/>
  <c r="W49" i="9" s="1"/>
  <c r="U18" i="8"/>
  <c r="W21" i="17"/>
  <c r="W43" i="5" s="1"/>
  <c r="T61" i="5"/>
  <c r="T44" i="6" s="1"/>
  <c r="V48" i="5"/>
  <c r="W19" i="17"/>
  <c r="G46" i="14"/>
  <c r="G66" i="14"/>
  <c r="W20" i="17"/>
  <c r="W41" i="5" s="1"/>
  <c r="W15" i="6" s="1"/>
  <c r="W29" i="9"/>
  <c r="W30" i="9" s="1"/>
  <c r="W32" i="9" s="1"/>
  <c r="W30" i="17"/>
  <c r="W25" i="17"/>
  <c r="W23" i="6" s="1"/>
  <c r="W32" i="17"/>
  <c r="U38" i="9"/>
  <c r="W27" i="17"/>
  <c r="W25" i="6" s="1"/>
  <c r="F21" i="14"/>
  <c r="E21" i="14"/>
  <c r="H33" i="13"/>
  <c r="P55" i="6"/>
  <c r="P56" i="6"/>
  <c r="P58" i="6"/>
  <c r="K71" i="2"/>
  <c r="U11" i="9"/>
  <c r="S57" i="6"/>
  <c r="N70" i="2"/>
  <c r="S62" i="5"/>
  <c r="S44" i="6"/>
  <c r="G71" i="14"/>
  <c r="O32" i="8"/>
  <c r="O25" i="8"/>
  <c r="U17" i="6"/>
  <c r="U19" i="6" s="1"/>
  <c r="U12" i="9" s="1"/>
  <c r="U13" i="9"/>
  <c r="U17" i="9" s="1"/>
  <c r="U49" i="5"/>
  <c r="Y5" i="9"/>
  <c r="Y5" i="7"/>
  <c r="Y10" i="4"/>
  <c r="Y5" i="6"/>
  <c r="Y5" i="5"/>
  <c r="Y5" i="8"/>
  <c r="F33" i="14"/>
  <c r="F59" i="14" s="1"/>
  <c r="U20" i="5"/>
  <c r="U22" i="5" s="1"/>
  <c r="W40" i="17"/>
  <c r="W51" i="6" s="1"/>
  <c r="W45" i="17"/>
  <c r="W43" i="17"/>
  <c r="W41" i="17"/>
  <c r="W39" i="17"/>
  <c r="W44" i="17"/>
  <c r="W42" i="17"/>
  <c r="W46" i="17"/>
  <c r="W23" i="8" s="1"/>
  <c r="Z8" i="7"/>
  <c r="Z8" i="6"/>
  <c r="Z8" i="8"/>
  <c r="Z9" i="4"/>
  <c r="Z10" i="9" s="1"/>
  <c r="AA8" i="4"/>
  <c r="Z8" i="9"/>
  <c r="Z8" i="5"/>
  <c r="Z5" i="4"/>
  <c r="Z7" i="4"/>
  <c r="Z6" i="4"/>
  <c r="Y7" i="7"/>
  <c r="Y14" i="4"/>
  <c r="Y7" i="9"/>
  <c r="Y4" i="4"/>
  <c r="Y7" i="8"/>
  <c r="Y7" i="5"/>
  <c r="Y7" i="6"/>
  <c r="J32" i="13"/>
  <c r="I32" i="13"/>
  <c r="G41" i="14"/>
  <c r="Y6" i="9"/>
  <c r="Y6" i="7"/>
  <c r="Y6" i="5"/>
  <c r="Y6" i="6"/>
  <c r="Y6" i="8"/>
  <c r="F19" i="14"/>
  <c r="F62" i="14" s="1"/>
  <c r="E19" i="14"/>
  <c r="G19" i="14" s="1"/>
  <c r="W14" i="9"/>
  <c r="W23" i="9" s="1"/>
  <c r="W10" i="6"/>
  <c r="W15" i="5"/>
  <c r="W42" i="5"/>
  <c r="X39" i="4"/>
  <c r="X38" i="4"/>
  <c r="X50" i="4"/>
  <c r="X27" i="9" s="1"/>
  <c r="X33" i="4"/>
  <c r="X60" i="5" s="1"/>
  <c r="X41" i="4"/>
  <c r="X36" i="9" s="1"/>
  <c r="X42" i="4"/>
  <c r="X45" i="4"/>
  <c r="X15" i="9" s="1"/>
  <c r="X29" i="4"/>
  <c r="X32" i="5" s="1"/>
  <c r="X32" i="4"/>
  <c r="X55" i="5" s="1"/>
  <c r="X35" i="4"/>
  <c r="X53" i="6" s="1"/>
  <c r="X48" i="4"/>
  <c r="X23" i="9" s="1"/>
  <c r="X44" i="4"/>
  <c r="X21" i="8" s="1"/>
  <c r="X43" i="4"/>
  <c r="X46" i="9" s="1"/>
  <c r="X30" i="4"/>
  <c r="X49" i="5" s="1"/>
  <c r="X34" i="4"/>
  <c r="X37" i="4"/>
  <c r="X32" i="6" s="1"/>
  <c r="X31" i="4"/>
  <c r="X52" i="5" s="1"/>
  <c r="X51" i="4"/>
  <c r="X25" i="9" s="1"/>
  <c r="X36" i="4"/>
  <c r="X26" i="6" s="1"/>
  <c r="X46" i="4"/>
  <c r="X17" i="9" s="1"/>
  <c r="X28" i="4"/>
  <c r="X49" i="4"/>
  <c r="X19" i="9" s="1"/>
  <c r="X40" i="4"/>
  <c r="X47" i="4"/>
  <c r="X21" i="9" s="1"/>
  <c r="X11" i="4"/>
  <c r="V15" i="6"/>
  <c r="V40" i="5"/>
  <c r="V20" i="8"/>
  <c r="V54" i="9"/>
  <c r="Q36" i="6"/>
  <c r="Q10" i="8"/>
  <c r="Q52" i="9"/>
  <c r="Q55" i="9" s="1"/>
  <c r="U29" i="5"/>
  <c r="E42" i="14"/>
  <c r="T62" i="5"/>
  <c r="T57" i="6"/>
  <c r="E47" i="14" s="1"/>
  <c r="O70" i="2"/>
  <c r="V10" i="6"/>
  <c r="V15" i="5"/>
  <c r="V14" i="9"/>
  <c r="V23" i="9" s="1"/>
  <c r="V42" i="5"/>
  <c r="W28" i="7"/>
  <c r="V37" i="17"/>
  <c r="V32" i="6" s="1"/>
  <c r="N35" i="8"/>
  <c r="N34" i="8"/>
  <c r="I72" i="2"/>
  <c r="G56" i="14"/>
  <c r="S29" i="6"/>
  <c r="S21" i="6"/>
  <c r="V17" i="8"/>
  <c r="V28" i="5"/>
  <c r="T29" i="6"/>
  <c r="T21" i="6"/>
  <c r="V36" i="7"/>
  <c r="V30" i="7"/>
  <c r="V32" i="7" s="1"/>
  <c r="X4" i="9"/>
  <c r="X4" i="5"/>
  <c r="X4" i="7"/>
  <c r="X4" i="6"/>
  <c r="X4" i="8"/>
  <c r="S69" i="2"/>
  <c r="G65" i="14"/>
  <c r="S15" i="9"/>
  <c r="S27" i="9"/>
  <c r="S19" i="9"/>
  <c r="V24" i="5"/>
  <c r="V11" i="6"/>
  <c r="V45" i="5"/>
  <c r="V46" i="5" s="1"/>
  <c r="G18" i="14"/>
  <c r="V35" i="17"/>
  <c r="V34" i="5" s="1"/>
  <c r="V36" i="5" s="1"/>
  <c r="V37" i="5" s="1"/>
  <c r="U39" i="9"/>
  <c r="U43" i="9"/>
  <c r="W79" i="17"/>
  <c r="W84" i="17"/>
  <c r="W47" i="5" s="1"/>
  <c r="W77" i="17"/>
  <c r="W33" i="8" s="1"/>
  <c r="W82" i="17"/>
  <c r="W41" i="6" s="1"/>
  <c r="W75" i="17"/>
  <c r="W23" i="5" s="1"/>
  <c r="W19" i="5" s="1"/>
  <c r="W85" i="17"/>
  <c r="W21" i="5" s="1"/>
  <c r="W78" i="17"/>
  <c r="W83" i="17"/>
  <c r="W42" i="6" s="1"/>
  <c r="W76" i="17"/>
  <c r="W81" i="17"/>
  <c r="W38" i="6" s="1"/>
  <c r="W80" i="17"/>
  <c r="V53" i="9"/>
  <c r="V12" i="8"/>
  <c r="N26" i="8"/>
  <c r="N27" i="8" s="1"/>
  <c r="M30" i="8"/>
  <c r="W41" i="9"/>
  <c r="I14" i="4"/>
  <c r="L14" i="4"/>
  <c r="E31" i="3"/>
  <c r="E75" i="14"/>
  <c r="W16" i="7"/>
  <c r="W21" i="7" s="1"/>
  <c r="G15" i="14"/>
  <c r="G52" i="14" s="1"/>
  <c r="E52" i="14"/>
  <c r="V16" i="8"/>
  <c r="V35" i="9"/>
  <c r="V34" i="7"/>
  <c r="W16" i="6"/>
  <c r="W44" i="5"/>
  <c r="W11" i="6"/>
  <c r="P13" i="8"/>
  <c r="P14" i="8" s="1"/>
  <c r="V41" i="9"/>
  <c r="V36" i="9" s="1"/>
  <c r="V18" i="6"/>
  <c r="V32" i="9"/>
  <c r="V27" i="6"/>
  <c r="V50" i="6"/>
  <c r="V11" i="8" s="1"/>
  <c r="V21" i="8"/>
  <c r="U61" i="5"/>
  <c r="U63" i="5"/>
  <c r="U59" i="5"/>
  <c r="V20" i="5"/>
  <c r="V22" i="5" s="1"/>
  <c r="W33" i="17"/>
  <c r="W34" i="6" s="1"/>
  <c r="V40" i="6"/>
  <c r="V43" i="6"/>
  <c r="V45" i="6" s="1"/>
  <c r="W28" i="17"/>
  <c r="W26" i="6" s="1"/>
  <c r="E52" i="3" s="1"/>
  <c r="R33" i="6"/>
  <c r="R35" i="6" s="1"/>
  <c r="R30" i="6"/>
  <c r="R52" i="6"/>
  <c r="G17" i="14"/>
  <c r="V36" i="17"/>
  <c r="V50" i="5" s="1"/>
  <c r="U51" i="5"/>
  <c r="F75" i="14"/>
  <c r="G45" i="14"/>
  <c r="Q53" i="6"/>
  <c r="Q54" i="6" s="1"/>
  <c r="F35" i="14"/>
  <c r="F60" i="14" s="1"/>
  <c r="U26" i="5"/>
  <c r="W23" i="17"/>
  <c r="G40" i="14"/>
  <c r="E35" i="14"/>
  <c r="E60" i="14" s="1"/>
  <c r="T26" i="5"/>
  <c r="U28" i="6"/>
  <c r="U45" i="6"/>
  <c r="W18" i="6" l="1"/>
  <c r="T27" i="9"/>
  <c r="T19" i="9"/>
  <c r="W45" i="5"/>
  <c r="W35" i="17"/>
  <c r="W34" i="5" s="1"/>
  <c r="W36" i="5" s="1"/>
  <c r="E54" i="3"/>
  <c r="E37" i="3"/>
  <c r="F85" i="14"/>
  <c r="E85" i="14"/>
  <c r="U20" i="6"/>
  <c r="U21" i="6" s="1"/>
  <c r="W27" i="6"/>
  <c r="E14" i="16" s="1"/>
  <c r="G14" i="16" s="1"/>
  <c r="G21" i="14"/>
  <c r="W37" i="17"/>
  <c r="W32" i="6" s="1"/>
  <c r="W40" i="5"/>
  <c r="W36" i="17"/>
  <c r="W50" i="5" s="1"/>
  <c r="W17" i="6" s="1"/>
  <c r="W19" i="6" s="1"/>
  <c r="W12" i="9" s="1"/>
  <c r="P32" i="8"/>
  <c r="P25" i="8"/>
  <c r="V43" i="9"/>
  <c r="V39" i="9"/>
  <c r="W43" i="6"/>
  <c r="W40" i="6"/>
  <c r="E38" i="3" s="1"/>
  <c r="W50" i="6"/>
  <c r="W11" i="8" s="1"/>
  <c r="W36" i="9"/>
  <c r="V16" i="5"/>
  <c r="X39" i="9"/>
  <c r="X41" i="9"/>
  <c r="X42" i="9" s="1"/>
  <c r="X18" i="6"/>
  <c r="F93" i="14"/>
  <c r="E73" i="14"/>
  <c r="E63" i="14"/>
  <c r="W49" i="5"/>
  <c r="W48" i="5"/>
  <c r="H34" i="13"/>
  <c r="L71" i="2"/>
  <c r="Q55" i="6"/>
  <c r="Q58" i="6"/>
  <c r="Q56" i="6"/>
  <c r="V32" i="5"/>
  <c r="V12" i="6"/>
  <c r="V13" i="6" s="1"/>
  <c r="V51" i="5"/>
  <c r="W36" i="7"/>
  <c r="E8" i="16" s="1"/>
  <c r="G8" i="16" s="1"/>
  <c r="W30" i="7"/>
  <c r="W32" i="7" s="1"/>
  <c r="E64" i="3"/>
  <c r="W46" i="5"/>
  <c r="G59" i="14"/>
  <c r="F36" i="14"/>
  <c r="F61" i="14" s="1"/>
  <c r="G61" i="14" s="1"/>
  <c r="U30" i="5"/>
  <c r="V13" i="9"/>
  <c r="V17" i="9" s="1"/>
  <c r="V17" i="6"/>
  <c r="V19" i="6" s="1"/>
  <c r="V12" i="9" s="1"/>
  <c r="V49" i="5"/>
  <c r="G60" i="14"/>
  <c r="F42" i="14"/>
  <c r="G42" i="14" s="1"/>
  <c r="G73" i="14" s="1"/>
  <c r="P70" i="2"/>
  <c r="U62" i="5"/>
  <c r="X54" i="9"/>
  <c r="X20" i="8"/>
  <c r="X22" i="8" s="1"/>
  <c r="V38" i="9"/>
  <c r="V25" i="5"/>
  <c r="V26" i="5" s="1"/>
  <c r="W20" i="5"/>
  <c r="V38" i="5"/>
  <c r="V22" i="8"/>
  <c r="E40" i="3"/>
  <c r="W17" i="8"/>
  <c r="Y4" i="7"/>
  <c r="Y4" i="8"/>
  <c r="Y4" i="9"/>
  <c r="Y4" i="6"/>
  <c r="Y4" i="5"/>
  <c r="T69" i="2"/>
  <c r="W16" i="8"/>
  <c r="W35" i="9"/>
  <c r="T30" i="6"/>
  <c r="T52" i="6"/>
  <c r="T33" i="6"/>
  <c r="T35" i="6" s="1"/>
  <c r="Z6" i="9"/>
  <c r="Z6" i="8"/>
  <c r="Z6" i="5"/>
  <c r="Z6" i="6"/>
  <c r="Z6" i="7"/>
  <c r="U25" i="9"/>
  <c r="U21" i="9"/>
  <c r="O26" i="8"/>
  <c r="O27" i="8" s="1"/>
  <c r="N30" i="8"/>
  <c r="W60" i="5"/>
  <c r="V29" i="5"/>
  <c r="V30" i="5" s="1"/>
  <c r="W12" i="8"/>
  <c r="W53" i="9"/>
  <c r="W28" i="5"/>
  <c r="Q13" i="8"/>
  <c r="Q14" i="8" s="1"/>
  <c r="R36" i="6"/>
  <c r="R52" i="9"/>
  <c r="R55" i="9" s="1"/>
  <c r="R10" i="8"/>
  <c r="W12" i="6"/>
  <c r="W13" i="6" s="1"/>
  <c r="Z14" i="4"/>
  <c r="Z7" i="9"/>
  <c r="Z7" i="8"/>
  <c r="Z7" i="7"/>
  <c r="Z7" i="5"/>
  <c r="Z7" i="6"/>
  <c r="Z4" i="4"/>
  <c r="F20" i="14"/>
  <c r="W54" i="9"/>
  <c r="E58" i="3" s="1"/>
  <c r="W20" i="8"/>
  <c r="W21" i="8"/>
  <c r="V18" i="8"/>
  <c r="W34" i="7"/>
  <c r="E7" i="16" s="1"/>
  <c r="G7" i="16" s="1"/>
  <c r="F91" i="14"/>
  <c r="W58" i="5"/>
  <c r="Z5" i="9"/>
  <c r="Z5" i="7"/>
  <c r="Z5" i="6"/>
  <c r="Z5" i="5"/>
  <c r="Z5" i="8"/>
  <c r="Z10" i="4"/>
  <c r="V58" i="5"/>
  <c r="V56" i="5"/>
  <c r="J33" i="13"/>
  <c r="I33" i="13"/>
  <c r="E62" i="14"/>
  <c r="G62" i="14" s="1"/>
  <c r="E39" i="3"/>
  <c r="U44" i="6"/>
  <c r="U54" i="5"/>
  <c r="U56" i="5"/>
  <c r="U52" i="5"/>
  <c r="Y41" i="4"/>
  <c r="Y50" i="4"/>
  <c r="Y27" i="9" s="1"/>
  <c r="Y33" i="4"/>
  <c r="Y60" i="5" s="1"/>
  <c r="Y45" i="4"/>
  <c r="Y15" i="9" s="1"/>
  <c r="Y28" i="4"/>
  <c r="Y38" i="4"/>
  <c r="Y49" i="9" s="1"/>
  <c r="Y35" i="4"/>
  <c r="Y53" i="6" s="1"/>
  <c r="Y29" i="4"/>
  <c r="Y32" i="5" s="1"/>
  <c r="Y32" i="4"/>
  <c r="Y55" i="5" s="1"/>
  <c r="Y48" i="4"/>
  <c r="Y23" i="9" s="1"/>
  <c r="Y43" i="4"/>
  <c r="Y46" i="9" s="1"/>
  <c r="Y17" i="8" s="1"/>
  <c r="Y44" i="4"/>
  <c r="Y21" i="8" s="1"/>
  <c r="Y30" i="4"/>
  <c r="Y49" i="5" s="1"/>
  <c r="Y39" i="4"/>
  <c r="Y34" i="4"/>
  <c r="Y31" i="4"/>
  <c r="Y52" i="5" s="1"/>
  <c r="Y36" i="4"/>
  <c r="Y26" i="6" s="1"/>
  <c r="Y51" i="4"/>
  <c r="Y25" i="9" s="1"/>
  <c r="Y46" i="4"/>
  <c r="Y17" i="9" s="1"/>
  <c r="Y37" i="4"/>
  <c r="Y32" i="6" s="1"/>
  <c r="Y42" i="4"/>
  <c r="Y49" i="4"/>
  <c r="Y19" i="9" s="1"/>
  <c r="Y47" i="4"/>
  <c r="Y21" i="9" s="1"/>
  <c r="Y40" i="4"/>
  <c r="Y11" i="4"/>
  <c r="X49" i="9"/>
  <c r="X31" i="6"/>
  <c r="E20" i="14"/>
  <c r="R53" i="6"/>
  <c r="R54" i="6" s="1"/>
  <c r="E94" i="14"/>
  <c r="G75" i="14"/>
  <c r="E76" i="14"/>
  <c r="E91" i="14"/>
  <c r="X23" i="4"/>
  <c r="X30" i="5" s="1"/>
  <c r="X28" i="5" s="1"/>
  <c r="X21" i="4"/>
  <c r="X20" i="5" s="1"/>
  <c r="X19" i="5" s="1"/>
  <c r="X27" i="4"/>
  <c r="X42" i="6" s="1"/>
  <c r="X26" i="4"/>
  <c r="X41" i="6" s="1"/>
  <c r="X24" i="4"/>
  <c r="X40" i="5" s="1"/>
  <c r="X25" i="4"/>
  <c r="X20" i="4"/>
  <c r="X16" i="5" s="1"/>
  <c r="X15" i="5" s="1"/>
  <c r="X17" i="4"/>
  <c r="X11" i="5" s="1"/>
  <c r="X22" i="4"/>
  <c r="X26" i="5" s="1"/>
  <c r="X24" i="5" s="1"/>
  <c r="X18" i="4"/>
  <c r="X19" i="4"/>
  <c r="O35" i="8"/>
  <c r="O34" i="8"/>
  <c r="J72" i="2"/>
  <c r="E93" i="14"/>
  <c r="W24" i="5"/>
  <c r="S33" i="6"/>
  <c r="S35" i="6" s="1"/>
  <c r="S30" i="6"/>
  <c r="S52" i="6"/>
  <c r="W16" i="5"/>
  <c r="U15" i="9"/>
  <c r="U19" i="9"/>
  <c r="U27" i="9"/>
  <c r="F94" i="14"/>
  <c r="X17" i="8"/>
  <c r="X47" i="9"/>
  <c r="AA8" i="7"/>
  <c r="AA8" i="8"/>
  <c r="AA8" i="9"/>
  <c r="AA5" i="4"/>
  <c r="AA8" i="5"/>
  <c r="AA8" i="6"/>
  <c r="AB8" i="4"/>
  <c r="AA7" i="4"/>
  <c r="AA6" i="4"/>
  <c r="AA9" i="4"/>
  <c r="AA10" i="9" s="1"/>
  <c r="W13" i="9" l="1"/>
  <c r="W17" i="9" s="1"/>
  <c r="E62" i="3" s="1"/>
  <c r="E46" i="3"/>
  <c r="E45" i="3"/>
  <c r="U29" i="6"/>
  <c r="U33" i="6" s="1"/>
  <c r="U35" i="6" s="1"/>
  <c r="W32" i="5"/>
  <c r="W51" i="5"/>
  <c r="W52" i="5" s="1"/>
  <c r="X40" i="6"/>
  <c r="E50" i="3"/>
  <c r="E67" i="14"/>
  <c r="W18" i="8"/>
  <c r="W21" i="9"/>
  <c r="W25" i="9"/>
  <c r="V21" i="9"/>
  <c r="V25" i="9"/>
  <c r="V11" i="9"/>
  <c r="V20" i="6"/>
  <c r="H35" i="13"/>
  <c r="F55" i="13"/>
  <c r="R55" i="6"/>
  <c r="M71" i="2"/>
  <c r="R56" i="6"/>
  <c r="R58" i="6"/>
  <c r="W38" i="9"/>
  <c r="F88" i="14"/>
  <c r="E88" i="14"/>
  <c r="E49" i="3"/>
  <c r="Y25" i="4"/>
  <c r="Y27" i="4"/>
  <c r="Y42" i="6" s="1"/>
  <c r="Y24" i="4"/>
  <c r="Y40" i="5" s="1"/>
  <c r="Y26" i="4"/>
  <c r="Y41" i="6" s="1"/>
  <c r="Y21" i="4"/>
  <c r="Y20" i="5" s="1"/>
  <c r="Y19" i="5" s="1"/>
  <c r="Y20" i="4"/>
  <c r="Y16" i="5" s="1"/>
  <c r="Y15" i="5" s="1"/>
  <c r="Y22" i="4"/>
  <c r="Y26" i="5" s="1"/>
  <c r="Y24" i="5" s="1"/>
  <c r="Y23" i="4"/>
  <c r="Y30" i="5" s="1"/>
  <c r="Y28" i="5" s="1"/>
  <c r="Y18" i="4"/>
  <c r="Y19" i="4"/>
  <c r="Y17" i="4"/>
  <c r="Y11" i="5" s="1"/>
  <c r="F53" i="14"/>
  <c r="F26" i="14"/>
  <c r="S53" i="6"/>
  <c r="S54" i="6" s="1"/>
  <c r="X43" i="9"/>
  <c r="X50" i="6" s="1"/>
  <c r="X11" i="8" s="1"/>
  <c r="V54" i="5"/>
  <c r="V52" i="5"/>
  <c r="V53" i="5" s="1"/>
  <c r="W22" i="5"/>
  <c r="E34" i="3"/>
  <c r="E80" i="14"/>
  <c r="F80" i="14"/>
  <c r="W29" i="5"/>
  <c r="W30" i="5" s="1"/>
  <c r="AA7" i="6"/>
  <c r="AA7" i="8"/>
  <c r="AA7" i="9"/>
  <c r="AA14" i="4"/>
  <c r="AA4" i="4"/>
  <c r="AA7" i="5"/>
  <c r="AA7" i="7"/>
  <c r="Z48" i="4"/>
  <c r="Z23" i="9" s="1"/>
  <c r="Z32" i="4"/>
  <c r="Z55" i="5" s="1"/>
  <c r="Z50" i="4"/>
  <c r="Z27" i="9" s="1"/>
  <c r="Z33" i="4"/>
  <c r="Z60" i="5" s="1"/>
  <c r="Z45" i="4"/>
  <c r="Z15" i="9" s="1"/>
  <c r="Z28" i="4"/>
  <c r="Z41" i="4"/>
  <c r="Z38" i="4"/>
  <c r="Z49" i="9" s="1"/>
  <c r="Z35" i="4"/>
  <c r="Z53" i="6" s="1"/>
  <c r="Z49" i="4"/>
  <c r="Z19" i="9" s="1"/>
  <c r="Z29" i="4"/>
  <c r="Z32" i="5" s="1"/>
  <c r="Z43" i="4"/>
  <c r="Z46" i="9" s="1"/>
  <c r="Z17" i="8" s="1"/>
  <c r="Z30" i="4"/>
  <c r="Z49" i="5" s="1"/>
  <c r="Z34" i="4"/>
  <c r="Z39" i="4"/>
  <c r="Z31" i="4"/>
  <c r="Z52" i="5" s="1"/>
  <c r="Z37" i="4"/>
  <c r="Z32" i="6" s="1"/>
  <c r="Z46" i="4"/>
  <c r="Z17" i="9" s="1"/>
  <c r="Z36" i="4"/>
  <c r="Z26" i="6" s="1"/>
  <c r="Z51" i="4"/>
  <c r="Z25" i="9" s="1"/>
  <c r="Z44" i="4"/>
  <c r="Z21" i="8" s="1"/>
  <c r="Z40" i="4"/>
  <c r="Z47" i="4"/>
  <c r="Z21" i="9" s="1"/>
  <c r="Z42" i="4"/>
  <c r="Z11" i="4"/>
  <c r="W45" i="6"/>
  <c r="W25" i="5"/>
  <c r="W26" i="5" s="1"/>
  <c r="G93" i="14"/>
  <c r="AB8" i="7"/>
  <c r="AB8" i="9"/>
  <c r="AB8" i="6"/>
  <c r="AB8" i="8"/>
  <c r="AC8" i="4"/>
  <c r="AB5" i="4"/>
  <c r="AB7" i="4"/>
  <c r="AB9" i="4"/>
  <c r="AB10" i="9" s="1"/>
  <c r="AB6" i="4"/>
  <c r="AB8" i="5"/>
  <c r="V63" i="5"/>
  <c r="V59" i="5"/>
  <c r="V60" i="5"/>
  <c r="V61" i="5" s="1"/>
  <c r="AA5" i="9"/>
  <c r="AA5" i="7"/>
  <c r="AA5" i="6"/>
  <c r="AA5" i="8"/>
  <c r="AA10" i="4"/>
  <c r="AA5" i="5"/>
  <c r="F76" i="14"/>
  <c r="G76" i="14" s="1"/>
  <c r="E77" i="14"/>
  <c r="G94" i="14"/>
  <c r="S52" i="9"/>
  <c r="S55" i="9" s="1"/>
  <c r="S36" i="6"/>
  <c r="S10" i="8"/>
  <c r="AA6" i="9"/>
  <c r="AA6" i="8"/>
  <c r="AA6" i="5"/>
  <c r="AA6" i="6"/>
  <c r="AA6" i="7"/>
  <c r="Q32" i="8"/>
  <c r="Q25" i="8"/>
  <c r="W11" i="9"/>
  <c r="W20" i="6"/>
  <c r="U53" i="5"/>
  <c r="O30" i="8"/>
  <c r="P26" i="8"/>
  <c r="P27" i="8" s="1"/>
  <c r="P34" i="8"/>
  <c r="P35" i="8"/>
  <c r="K72" i="2"/>
  <c r="W54" i="5"/>
  <c r="W53" i="5"/>
  <c r="W56" i="5"/>
  <c r="V28" i="6"/>
  <c r="U30" i="6"/>
  <c r="U52" i="6"/>
  <c r="E33" i="3"/>
  <c r="E78" i="14"/>
  <c r="F78" i="14"/>
  <c r="W22" i="8"/>
  <c r="W43" i="9"/>
  <c r="W39" i="9"/>
  <c r="E57" i="3" s="1"/>
  <c r="X29" i="5"/>
  <c r="W61" i="5"/>
  <c r="W44" i="6" s="1"/>
  <c r="W63" i="5"/>
  <c r="W59" i="5"/>
  <c r="R13" i="8"/>
  <c r="R14" i="8" s="1"/>
  <c r="W28" i="6"/>
  <c r="Y40" i="9"/>
  <c r="X18" i="7"/>
  <c r="Z4" i="8"/>
  <c r="Z4" i="9"/>
  <c r="Z4" i="6"/>
  <c r="Z4" i="5"/>
  <c r="Z4" i="7"/>
  <c r="U69" i="2"/>
  <c r="Y54" i="9"/>
  <c r="Y20" i="8"/>
  <c r="Y22" i="8" s="1"/>
  <c r="X33" i="5"/>
  <c r="X10" i="5"/>
  <c r="T52" i="9"/>
  <c r="T55" i="9" s="1"/>
  <c r="T36" i="6"/>
  <c r="T10" i="8"/>
  <c r="J34" i="13"/>
  <c r="I34" i="13"/>
  <c r="G20" i="14"/>
  <c r="G53" i="14" s="1"/>
  <c r="E53" i="14"/>
  <c r="E26" i="14"/>
  <c r="W37" i="5"/>
  <c r="W38" i="5"/>
  <c r="X25" i="5"/>
  <c r="Y45" i="9"/>
  <c r="Y47" i="9" s="1"/>
  <c r="X11" i="7"/>
  <c r="Y41" i="9"/>
  <c r="Y18" i="6"/>
  <c r="T53" i="6"/>
  <c r="T54" i="6" s="1"/>
  <c r="E63" i="3" l="1"/>
  <c r="E67" i="3"/>
  <c r="Y40" i="6"/>
  <c r="E47" i="3"/>
  <c r="F77" i="14"/>
  <c r="F81" i="14" s="1"/>
  <c r="Y33" i="5"/>
  <c r="Y34" i="5" s="1"/>
  <c r="V57" i="6"/>
  <c r="Q70" i="2"/>
  <c r="V62" i="5"/>
  <c r="V44" i="6"/>
  <c r="H36" i="13"/>
  <c r="S55" i="6"/>
  <c r="S56" i="6"/>
  <c r="N71" i="2"/>
  <c r="S58" i="6"/>
  <c r="G70" i="14"/>
  <c r="R32" i="8"/>
  <c r="R25" i="8"/>
  <c r="AA4" i="8"/>
  <c r="AA4" i="9"/>
  <c r="V69" i="2"/>
  <c r="AA4" i="6"/>
  <c r="AA4" i="5"/>
  <c r="AA4" i="7"/>
  <c r="W62" i="5"/>
  <c r="W57" i="6"/>
  <c r="R70" i="2"/>
  <c r="G88" i="14"/>
  <c r="F43" i="14"/>
  <c r="U57" i="6"/>
  <c r="F47" i="14" s="1"/>
  <c r="G47" i="14" s="1"/>
  <c r="F90" i="14"/>
  <c r="E90" i="14"/>
  <c r="W15" i="9"/>
  <c r="W19" i="9"/>
  <c r="W27" i="9"/>
  <c r="Q35" i="8"/>
  <c r="Q34" i="8"/>
  <c r="L72" i="2"/>
  <c r="E35" i="3"/>
  <c r="F82" i="14"/>
  <c r="E82" i="14"/>
  <c r="AB5" i="9"/>
  <c r="AB5" i="7"/>
  <c r="AB10" i="4"/>
  <c r="AB5" i="6"/>
  <c r="AB5" i="8"/>
  <c r="AB5" i="5"/>
  <c r="AB7" i="7"/>
  <c r="AB7" i="8"/>
  <c r="AB7" i="9"/>
  <c r="AB4" i="4"/>
  <c r="AB7" i="6"/>
  <c r="AB14" i="4"/>
  <c r="AB7" i="5"/>
  <c r="Z45" i="9"/>
  <c r="Z47" i="9" s="1"/>
  <c r="Y11" i="7"/>
  <c r="Q26" i="8"/>
  <c r="Q27" i="8" s="1"/>
  <c r="P30" i="8"/>
  <c r="AA48" i="6"/>
  <c r="Z48" i="6"/>
  <c r="AG46" i="6"/>
  <c r="AI48" i="6"/>
  <c r="AC47" i="6"/>
  <c r="AC46" i="6"/>
  <c r="AF47" i="6"/>
  <c r="AF46" i="6"/>
  <c r="Y48" i="6"/>
  <c r="AC48" i="6"/>
  <c r="Z47" i="6"/>
  <c r="AI46" i="6"/>
  <c r="AJ47" i="6"/>
  <c r="AK46" i="6"/>
  <c r="AH48" i="6"/>
  <c r="Y46" i="6"/>
  <c r="X48" i="6"/>
  <c r="AG48" i="6"/>
  <c r="AE47" i="6"/>
  <c r="AD47" i="6"/>
  <c r="AD48" i="6"/>
  <c r="AB47" i="6"/>
  <c r="AJ48" i="6"/>
  <c r="AH47" i="6"/>
  <c r="AA46" i="6"/>
  <c r="AK48" i="6"/>
  <c r="AE46" i="6"/>
  <c r="AE48" i="6"/>
  <c r="AB48" i="6"/>
  <c r="X46" i="6"/>
  <c r="Y47" i="6"/>
  <c r="AF48" i="6"/>
  <c r="AB46" i="6"/>
  <c r="AA47" i="6"/>
  <c r="AD46" i="6"/>
  <c r="AJ46" i="6"/>
  <c r="X47" i="6"/>
  <c r="AK47" i="6"/>
  <c r="AG47" i="6"/>
  <c r="AH46" i="6"/>
  <c r="Z46" i="6"/>
  <c r="AI47" i="6"/>
  <c r="Y25" i="5"/>
  <c r="W29" i="6"/>
  <c r="W21" i="6"/>
  <c r="E13" i="16"/>
  <c r="G13" i="16" s="1"/>
  <c r="E36" i="3"/>
  <c r="E83" i="14"/>
  <c r="F83" i="14"/>
  <c r="E81" i="14"/>
  <c r="J35" i="13"/>
  <c r="I35" i="13"/>
  <c r="Z41" i="9"/>
  <c r="Z18" i="6"/>
  <c r="Z24" i="4"/>
  <c r="Z40" i="5" s="1"/>
  <c r="Z26" i="4"/>
  <c r="Z41" i="6" s="1"/>
  <c r="Z22" i="4"/>
  <c r="Z26" i="5" s="1"/>
  <c r="Z24" i="5" s="1"/>
  <c r="Z20" i="4"/>
  <c r="Z16" i="5" s="1"/>
  <c r="Z15" i="5" s="1"/>
  <c r="Z27" i="4"/>
  <c r="Z42" i="6" s="1"/>
  <c r="Z23" i="4"/>
  <c r="Z30" i="5" s="1"/>
  <c r="Z28" i="5" s="1"/>
  <c r="Z21" i="4"/>
  <c r="Z20" i="5" s="1"/>
  <c r="Z19" i="5" s="1"/>
  <c r="Z18" i="4"/>
  <c r="Z25" i="4"/>
  <c r="Z19" i="4"/>
  <c r="Z17" i="4"/>
  <c r="Z11" i="5" s="1"/>
  <c r="V29" i="6"/>
  <c r="V21" i="6"/>
  <c r="Y29" i="5"/>
  <c r="S13" i="8"/>
  <c r="S14" i="8" s="1"/>
  <c r="U53" i="6"/>
  <c r="U54" i="6" s="1"/>
  <c r="V15" i="9"/>
  <c r="V27" i="9"/>
  <c r="V19" i="9"/>
  <c r="T13" i="8"/>
  <c r="T14" i="8" s="1"/>
  <c r="E56" i="3"/>
  <c r="G26" i="14"/>
  <c r="E92" i="14"/>
  <c r="E79" i="14"/>
  <c r="Y10" i="5"/>
  <c r="Y12" i="5" s="1"/>
  <c r="Y23" i="5" s="1"/>
  <c r="X13" i="5"/>
  <c r="X12" i="5"/>
  <c r="H37" i="13"/>
  <c r="E48" i="14"/>
  <c r="T55" i="6"/>
  <c r="O71" i="2"/>
  <c r="T56" i="6"/>
  <c r="T58" i="6"/>
  <c r="Z20" i="8"/>
  <c r="Z22" i="8" s="1"/>
  <c r="Z54" i="9"/>
  <c r="AA50" i="4"/>
  <c r="AA27" i="9" s="1"/>
  <c r="AA34" i="4"/>
  <c r="AA45" i="4"/>
  <c r="AA15" i="9" s="1"/>
  <c r="AA28" i="4"/>
  <c r="AA40" i="4"/>
  <c r="AA49" i="4"/>
  <c r="AA19" i="9" s="1"/>
  <c r="AA32" i="4"/>
  <c r="AA55" i="5" s="1"/>
  <c r="AA35" i="4"/>
  <c r="AA53" i="6" s="1"/>
  <c r="AA38" i="4"/>
  <c r="AA49" i="9" s="1"/>
  <c r="AA51" i="4"/>
  <c r="AA25" i="9" s="1"/>
  <c r="AA39" i="4"/>
  <c r="AA43" i="4"/>
  <c r="AA46" i="9" s="1"/>
  <c r="AA17" i="8" s="1"/>
  <c r="AA48" i="4"/>
  <c r="AA23" i="9" s="1"/>
  <c r="AA47" i="4"/>
  <c r="AA21" i="9" s="1"/>
  <c r="AA29" i="4"/>
  <c r="AA32" i="5" s="1"/>
  <c r="AA44" i="4"/>
  <c r="AA21" i="8" s="1"/>
  <c r="AA46" i="4"/>
  <c r="AA17" i="9" s="1"/>
  <c r="AA37" i="4"/>
  <c r="AA32" i="6" s="1"/>
  <c r="AA30" i="4"/>
  <c r="AA49" i="5" s="1"/>
  <c r="AA36" i="4"/>
  <c r="AA26" i="6" s="1"/>
  <c r="AA41" i="4"/>
  <c r="AA33" i="4"/>
  <c r="AA60" i="5" s="1"/>
  <c r="AA31" i="4"/>
  <c r="AA52" i="5" s="1"/>
  <c r="AA42" i="4"/>
  <c r="AA11" i="4"/>
  <c r="U52" i="9"/>
  <c r="U55" i="9" s="1"/>
  <c r="U36" i="6"/>
  <c r="U10" i="8"/>
  <c r="X50" i="5"/>
  <c r="X34" i="5"/>
  <c r="AB6" i="9"/>
  <c r="AB6" i="6"/>
  <c r="AB6" i="5"/>
  <c r="AB6" i="8"/>
  <c r="AB6" i="7"/>
  <c r="AC8" i="7"/>
  <c r="AC8" i="9"/>
  <c r="AC9" i="4"/>
  <c r="AC10" i="9" s="1"/>
  <c r="AD8" i="4"/>
  <c r="AC5" i="4"/>
  <c r="AC6" i="4"/>
  <c r="AC8" i="6"/>
  <c r="AC8" i="5"/>
  <c r="AC8" i="8"/>
  <c r="AC7" i="4"/>
  <c r="Y42" i="9"/>
  <c r="E68" i="14"/>
  <c r="F79" i="14" l="1"/>
  <c r="F86" i="14" s="1"/>
  <c r="F92" i="14"/>
  <c r="G92" i="14" s="1"/>
  <c r="Y50" i="5"/>
  <c r="Y13" i="9" s="1"/>
  <c r="Y18" i="9" s="1"/>
  <c r="Z33" i="5"/>
  <c r="Z50" i="5" s="1"/>
  <c r="G90" i="14"/>
  <c r="T32" i="8"/>
  <c r="T25" i="8"/>
  <c r="U13" i="8"/>
  <c r="U14" i="8" s="1"/>
  <c r="J37" i="13"/>
  <c r="I37" i="13"/>
  <c r="Z40" i="6"/>
  <c r="R26" i="8"/>
  <c r="R27" i="8" s="1"/>
  <c r="Q30" i="8"/>
  <c r="F63" i="14"/>
  <c r="G43" i="14"/>
  <c r="X17" i="5"/>
  <c r="X39" i="6"/>
  <c r="X38" i="6" s="1"/>
  <c r="X23" i="5"/>
  <c r="Z29" i="5"/>
  <c r="Z11" i="7"/>
  <c r="AA45" i="9"/>
  <c r="AA47" i="9" s="1"/>
  <c r="E72" i="14"/>
  <c r="Y17" i="5"/>
  <c r="Y39" i="6"/>
  <c r="Y38" i="6" s="1"/>
  <c r="Z40" i="9"/>
  <c r="Z42" i="9" s="1"/>
  <c r="Y18" i="7"/>
  <c r="Z10" i="5"/>
  <c r="Y13" i="5"/>
  <c r="G79" i="14"/>
  <c r="E86" i="14"/>
  <c r="E54" i="14"/>
  <c r="Y43" i="5"/>
  <c r="Y27" i="5"/>
  <c r="X51" i="5"/>
  <c r="X12" i="6"/>
  <c r="X13" i="9"/>
  <c r="X18" i="9" s="1"/>
  <c r="X17" i="6"/>
  <c r="Z25" i="5"/>
  <c r="AB4" i="8"/>
  <c r="AB4" i="9"/>
  <c r="W69" i="2"/>
  <c r="AB4" i="7"/>
  <c r="AB4" i="5"/>
  <c r="AB4" i="6"/>
  <c r="F84" i="14"/>
  <c r="F87" i="14"/>
  <c r="F89" i="14" s="1"/>
  <c r="AA41" i="9"/>
  <c r="AA18" i="6"/>
  <c r="E61" i="3"/>
  <c r="W52" i="6"/>
  <c r="W33" i="6"/>
  <c r="W30" i="6"/>
  <c r="E15" i="16"/>
  <c r="G15" i="16" s="1"/>
  <c r="AC7" i="7"/>
  <c r="AC7" i="6"/>
  <c r="AC7" i="9"/>
  <c r="AC7" i="8"/>
  <c r="AC14" i="4"/>
  <c r="AC7" i="5"/>
  <c r="AC4" i="4"/>
  <c r="AD8" i="9"/>
  <c r="AD5" i="4"/>
  <c r="AD8" i="6"/>
  <c r="AE8" i="4"/>
  <c r="AD8" i="7"/>
  <c r="AD8" i="5"/>
  <c r="AD8" i="8"/>
  <c r="AD6" i="4"/>
  <c r="AD7" i="4"/>
  <c r="AD9" i="4"/>
  <c r="AD10" i="9" s="1"/>
  <c r="AA18" i="4"/>
  <c r="AA23" i="4"/>
  <c r="AA30" i="5" s="1"/>
  <c r="AA28" i="5" s="1"/>
  <c r="AA25" i="4"/>
  <c r="AA27" i="4"/>
  <c r="AA42" i="6" s="1"/>
  <c r="AA20" i="4"/>
  <c r="AA16" i="5" s="1"/>
  <c r="AA15" i="5" s="1"/>
  <c r="AA24" i="4"/>
  <c r="AA40" i="5" s="1"/>
  <c r="AA22" i="4"/>
  <c r="AA26" i="5" s="1"/>
  <c r="AA24" i="5" s="1"/>
  <c r="AA19" i="4"/>
  <c r="AA21" i="4"/>
  <c r="AA20" i="5" s="1"/>
  <c r="AA19" i="5" s="1"/>
  <c r="AA26" i="4"/>
  <c r="AA41" i="6" s="1"/>
  <c r="AA17" i="4"/>
  <c r="AA11" i="5" s="1"/>
  <c r="AA20" i="8"/>
  <c r="AA22" i="8" s="1"/>
  <c r="AA54" i="9"/>
  <c r="R35" i="8"/>
  <c r="M72" i="2"/>
  <c r="R34" i="8"/>
  <c r="AB41" i="4"/>
  <c r="AB45" i="4"/>
  <c r="AB15" i="9" s="1"/>
  <c r="AB28" i="4"/>
  <c r="AB40" i="4"/>
  <c r="AB38" i="4"/>
  <c r="AB49" i="9" s="1"/>
  <c r="AB35" i="4"/>
  <c r="AB53" i="6" s="1"/>
  <c r="AB49" i="4"/>
  <c r="AB19" i="9" s="1"/>
  <c r="AB32" i="4"/>
  <c r="AB55" i="5" s="1"/>
  <c r="AB48" i="4"/>
  <c r="AB23" i="9" s="1"/>
  <c r="AB51" i="4"/>
  <c r="AB25" i="9" s="1"/>
  <c r="AB50" i="4"/>
  <c r="AB27" i="9" s="1"/>
  <c r="AB46" i="4"/>
  <c r="AB17" i="9" s="1"/>
  <c r="AB34" i="4"/>
  <c r="AB39" i="4"/>
  <c r="AB43" i="4"/>
  <c r="AB46" i="9" s="1"/>
  <c r="AB17" i="8" s="1"/>
  <c r="AB29" i="4"/>
  <c r="AB32" i="5" s="1"/>
  <c r="AB47" i="4"/>
  <c r="AB21" i="9" s="1"/>
  <c r="AB36" i="4"/>
  <c r="AB26" i="6" s="1"/>
  <c r="AB31" i="4"/>
  <c r="AB52" i="5" s="1"/>
  <c r="AB37" i="4"/>
  <c r="AB32" i="6" s="1"/>
  <c r="AB44" i="4"/>
  <c r="AB21" i="8" s="1"/>
  <c r="AB30" i="4"/>
  <c r="AB49" i="5" s="1"/>
  <c r="AB33" i="4"/>
  <c r="AB60" i="5" s="1"/>
  <c r="AB42" i="4"/>
  <c r="AB11" i="4"/>
  <c r="H38" i="13"/>
  <c r="F48" i="14"/>
  <c r="F54" i="14" s="1"/>
  <c r="U58" i="6"/>
  <c r="U55" i="6"/>
  <c r="P71" i="2"/>
  <c r="U56" i="6"/>
  <c r="E66" i="3"/>
  <c r="Y12" i="6"/>
  <c r="S25" i="8"/>
  <c r="S32" i="8"/>
  <c r="V33" i="6"/>
  <c r="V35" i="6" s="1"/>
  <c r="V30" i="6"/>
  <c r="V52" i="6"/>
  <c r="AC5" i="6"/>
  <c r="AC5" i="9"/>
  <c r="AC5" i="8"/>
  <c r="AC10" i="4"/>
  <c r="AC5" i="5"/>
  <c r="AC5" i="7"/>
  <c r="E84" i="14"/>
  <c r="G81" i="14"/>
  <c r="E87" i="14"/>
  <c r="E65" i="3"/>
  <c r="AC6" i="7"/>
  <c r="AC6" i="9"/>
  <c r="AC6" i="5"/>
  <c r="AC6" i="6"/>
  <c r="AC6" i="8"/>
  <c r="I36" i="13"/>
  <c r="J36" i="13"/>
  <c r="F95" i="14" l="1"/>
  <c r="Y51" i="5"/>
  <c r="Y54" i="5" s="1"/>
  <c r="Y17" i="6"/>
  <c r="Z34" i="5"/>
  <c r="Z51" i="5" s="1"/>
  <c r="AA33" i="5"/>
  <c r="AA50" i="5" s="1"/>
  <c r="G87" i="14"/>
  <c r="G84" i="14"/>
  <c r="U25" i="8"/>
  <c r="U32" i="8"/>
  <c r="Y43" i="6"/>
  <c r="AA25" i="5"/>
  <c r="G48" i="14"/>
  <c r="AA11" i="7"/>
  <c r="AB45" i="9"/>
  <c r="AB47" i="9" s="1"/>
  <c r="AA29" i="5"/>
  <c r="E89" i="14"/>
  <c r="G86" i="14"/>
  <c r="AA40" i="6"/>
  <c r="X27" i="5"/>
  <c r="X36" i="5" s="1"/>
  <c r="X37" i="5" s="1"/>
  <c r="X43" i="5"/>
  <c r="AC43" i="4"/>
  <c r="AC46" i="9" s="1"/>
  <c r="AC17" i="8" s="1"/>
  <c r="AC40" i="4"/>
  <c r="AC35" i="4"/>
  <c r="AC53" i="6" s="1"/>
  <c r="AC38" i="4"/>
  <c r="AC49" i="9" s="1"/>
  <c r="AC49" i="4"/>
  <c r="AC19" i="9" s="1"/>
  <c r="AC46" i="4"/>
  <c r="AC17" i="9" s="1"/>
  <c r="AC32" i="4"/>
  <c r="AC55" i="5" s="1"/>
  <c r="AC45" i="4"/>
  <c r="AC15" i="9" s="1"/>
  <c r="AC48" i="4"/>
  <c r="AC23" i="9" s="1"/>
  <c r="AC30" i="4"/>
  <c r="AC49" i="5" s="1"/>
  <c r="AC34" i="4"/>
  <c r="AC29" i="4"/>
  <c r="AC32" i="5" s="1"/>
  <c r="AC39" i="4"/>
  <c r="AC47" i="4"/>
  <c r="AC21" i="9" s="1"/>
  <c r="AC36" i="4"/>
  <c r="AC26" i="6" s="1"/>
  <c r="AC31" i="4"/>
  <c r="AC52" i="5" s="1"/>
  <c r="AC51" i="4"/>
  <c r="AC25" i="9" s="1"/>
  <c r="AC28" i="4"/>
  <c r="AC44" i="4"/>
  <c r="AC21" i="8" s="1"/>
  <c r="AC37" i="4"/>
  <c r="AC32" i="6" s="1"/>
  <c r="AC42" i="4"/>
  <c r="AC50" i="4"/>
  <c r="AC27" i="9" s="1"/>
  <c r="AC41" i="4"/>
  <c r="AC33" i="4"/>
  <c r="AC60" i="5" s="1"/>
  <c r="AC11" i="4"/>
  <c r="X14" i="9"/>
  <c r="X24" i="9" s="1"/>
  <c r="X24" i="7" s="1"/>
  <c r="X10" i="6"/>
  <c r="X41" i="5"/>
  <c r="X15" i="6" s="1"/>
  <c r="W53" i="6"/>
  <c r="W54" i="6" s="1"/>
  <c r="J38" i="13"/>
  <c r="I38" i="13"/>
  <c r="W35" i="6"/>
  <c r="E55" i="3"/>
  <c r="AB20" i="8"/>
  <c r="AB22" i="8" s="1"/>
  <c r="AB54" i="9"/>
  <c r="AE8" i="9"/>
  <c r="AE6" i="4"/>
  <c r="AE7" i="4"/>
  <c r="AE8" i="6"/>
  <c r="AF8" i="4"/>
  <c r="AE8" i="5"/>
  <c r="AE5" i="4"/>
  <c r="AE8" i="8"/>
  <c r="AE8" i="7"/>
  <c r="AE9" i="4"/>
  <c r="AE10" i="9" s="1"/>
  <c r="AD6" i="7"/>
  <c r="AD6" i="9"/>
  <c r="AD6" i="6"/>
  <c r="AD6" i="5"/>
  <c r="AD6" i="8"/>
  <c r="X43" i="6"/>
  <c r="AA10" i="5"/>
  <c r="AA12" i="5" s="1"/>
  <c r="Z13" i="5"/>
  <c r="AD7" i="7"/>
  <c r="AD7" i="9"/>
  <c r="AD7" i="8"/>
  <c r="AD14" i="4"/>
  <c r="AD7" i="5"/>
  <c r="AD7" i="6"/>
  <c r="AD4" i="4"/>
  <c r="F67" i="14"/>
  <c r="G63" i="14"/>
  <c r="X53" i="5"/>
  <c r="X54" i="5"/>
  <c r="AB25" i="4"/>
  <c r="AB23" i="4"/>
  <c r="AB30" i="5" s="1"/>
  <c r="AB28" i="5" s="1"/>
  <c r="AB18" i="4"/>
  <c r="AB24" i="4"/>
  <c r="AB40" i="5" s="1"/>
  <c r="AB27" i="4"/>
  <c r="AB42" i="6" s="1"/>
  <c r="AB20" i="4"/>
  <c r="AB16" i="5" s="1"/>
  <c r="AB15" i="5" s="1"/>
  <c r="AB22" i="4"/>
  <c r="AB26" i="5" s="1"/>
  <c r="AB24" i="5" s="1"/>
  <c r="AB19" i="4"/>
  <c r="AB21" i="4"/>
  <c r="AB20" i="5" s="1"/>
  <c r="AB19" i="5" s="1"/>
  <c r="AB26" i="4"/>
  <c r="AB41" i="6" s="1"/>
  <c r="AB17" i="4"/>
  <c r="AB11" i="5" s="1"/>
  <c r="Y13" i="7"/>
  <c r="Y14" i="9"/>
  <c r="Y24" i="9" s="1"/>
  <c r="Y24" i="7" s="1"/>
  <c r="Y10" i="6"/>
  <c r="Y36" i="5"/>
  <c r="Y37" i="5" s="1"/>
  <c r="Y41" i="5"/>
  <c r="Y15" i="6" s="1"/>
  <c r="V52" i="9"/>
  <c r="V55" i="9" s="1"/>
  <c r="V36" i="6"/>
  <c r="V10" i="8"/>
  <c r="Z13" i="9"/>
  <c r="Z18" i="9" s="1"/>
  <c r="Z31" i="9" s="1"/>
  <c r="Z17" i="6"/>
  <c r="Y11" i="6"/>
  <c r="Y45" i="5"/>
  <c r="Y46" i="5" s="1"/>
  <c r="S35" i="8"/>
  <c r="N72" i="2"/>
  <c r="S34" i="8"/>
  <c r="AD5" i="7"/>
  <c r="AD5" i="9"/>
  <c r="AD5" i="8"/>
  <c r="AD10" i="4"/>
  <c r="AD5" i="5"/>
  <c r="AD5" i="6"/>
  <c r="AC4" i="8"/>
  <c r="AC4" i="9"/>
  <c r="X69" i="2"/>
  <c r="AC4" i="6"/>
  <c r="AC4" i="5"/>
  <c r="AC4" i="7"/>
  <c r="Y44" i="5"/>
  <c r="Y16" i="6"/>
  <c r="Z12" i="5"/>
  <c r="R30" i="8"/>
  <c r="S26" i="8"/>
  <c r="S27" i="8" s="1"/>
  <c r="T35" i="8"/>
  <c r="O72" i="2"/>
  <c r="T34" i="8"/>
  <c r="AA40" i="9"/>
  <c r="AA42" i="9" s="1"/>
  <c r="Z18" i="7"/>
  <c r="V53" i="6"/>
  <c r="AB41" i="9"/>
  <c r="AB18" i="6"/>
  <c r="Y31" i="9"/>
  <c r="X13" i="7"/>
  <c r="X31" i="9"/>
  <c r="Y53" i="5" l="1"/>
  <c r="Z12" i="6"/>
  <c r="AA34" i="5"/>
  <c r="AA12" i="6" s="1"/>
  <c r="E51" i="3"/>
  <c r="V54" i="6"/>
  <c r="Y38" i="5"/>
  <c r="X42" i="5"/>
  <c r="Y19" i="6"/>
  <c r="Y12" i="9" s="1"/>
  <c r="Y22" i="9" s="1"/>
  <c r="Y23" i="7" s="1"/>
  <c r="AE5" i="7"/>
  <c r="AE5" i="9"/>
  <c r="AE5" i="6"/>
  <c r="AE5" i="8"/>
  <c r="AE10" i="4"/>
  <c r="AE5" i="5"/>
  <c r="AB40" i="6"/>
  <c r="AD50" i="4"/>
  <c r="AD27" i="9" s="1"/>
  <c r="AD34" i="4"/>
  <c r="AD40" i="4"/>
  <c r="AD35" i="4"/>
  <c r="AD53" i="6" s="1"/>
  <c r="AD47" i="4"/>
  <c r="AD21" i="9" s="1"/>
  <c r="AD49" i="4"/>
  <c r="AD19" i="9" s="1"/>
  <c r="AD46" i="4"/>
  <c r="AD17" i="9" s="1"/>
  <c r="AD32" i="4"/>
  <c r="AD55" i="5" s="1"/>
  <c r="AD48" i="4"/>
  <c r="AD23" i="9" s="1"/>
  <c r="AD51" i="4"/>
  <c r="AD25" i="9" s="1"/>
  <c r="AD41" i="4"/>
  <c r="AD30" i="4"/>
  <c r="AD49" i="5" s="1"/>
  <c r="AD39" i="4"/>
  <c r="AD43" i="4"/>
  <c r="AD46" i="9" s="1"/>
  <c r="AD17" i="8" s="1"/>
  <c r="AD38" i="4"/>
  <c r="AD49" i="9" s="1"/>
  <c r="AD29" i="4"/>
  <c r="AD32" i="5" s="1"/>
  <c r="AD36" i="4"/>
  <c r="AD26" i="6" s="1"/>
  <c r="AD31" i="4"/>
  <c r="AD52" i="5" s="1"/>
  <c r="AD37" i="4"/>
  <c r="AD32" i="6" s="1"/>
  <c r="AD45" i="4"/>
  <c r="AD15" i="9" s="1"/>
  <c r="AD42" i="4"/>
  <c r="AD44" i="4"/>
  <c r="AD21" i="8" s="1"/>
  <c r="AD28" i="4"/>
  <c r="AD33" i="4"/>
  <c r="AD60" i="5" s="1"/>
  <c r="AD11" i="4"/>
  <c r="X44" i="5"/>
  <c r="X16" i="6"/>
  <c r="AF8" i="9"/>
  <c r="AF6" i="4"/>
  <c r="AF8" i="6"/>
  <c r="AG8" i="4"/>
  <c r="AF8" i="8"/>
  <c r="AF8" i="5"/>
  <c r="AF5" i="4"/>
  <c r="AF8" i="7"/>
  <c r="AF9" i="4"/>
  <c r="AF10" i="9" s="1"/>
  <c r="AF7" i="4"/>
  <c r="X19" i="6"/>
  <c r="X12" i="9" s="1"/>
  <c r="X11" i="6"/>
  <c r="X13" i="6" s="1"/>
  <c r="X38" i="5"/>
  <c r="X45" i="5"/>
  <c r="X46" i="5" s="1"/>
  <c r="AB29" i="5"/>
  <c r="AA18" i="7"/>
  <c r="AB40" i="9"/>
  <c r="AB42" i="9" s="1"/>
  <c r="V13" i="8"/>
  <c r="V14" i="8" s="1"/>
  <c r="Z54" i="5"/>
  <c r="Z53" i="5"/>
  <c r="AE6" i="7"/>
  <c r="AE6" i="9"/>
  <c r="AE6" i="6"/>
  <c r="AE6" i="8"/>
  <c r="AE6" i="5"/>
  <c r="AA13" i="9"/>
  <c r="AA18" i="9" s="1"/>
  <c r="AA31" i="9" s="1"/>
  <c r="AA17" i="6"/>
  <c r="AC45" i="9"/>
  <c r="AC47" i="9" s="1"/>
  <c r="AB11" i="7"/>
  <c r="E95" i="14"/>
  <c r="G95" i="14" s="1"/>
  <c r="G89" i="14"/>
  <c r="AE7" i="9"/>
  <c r="AE7" i="8"/>
  <c r="AE7" i="7"/>
  <c r="AE14" i="4"/>
  <c r="AE7" i="5"/>
  <c r="AE4" i="4"/>
  <c r="AE7" i="6"/>
  <c r="H40" i="13"/>
  <c r="W58" i="6"/>
  <c r="W56" i="6"/>
  <c r="H11" i="13"/>
  <c r="W55" i="6"/>
  <c r="R71" i="2"/>
  <c r="G96" i="14"/>
  <c r="H39" i="13"/>
  <c r="V56" i="6"/>
  <c r="V58" i="6"/>
  <c r="V55" i="6"/>
  <c r="Q71" i="2"/>
  <c r="E10" i="13"/>
  <c r="F10" i="13"/>
  <c r="AA17" i="5"/>
  <c r="AA39" i="6"/>
  <c r="AA38" i="6" s="1"/>
  <c r="G72" i="14"/>
  <c r="G54" i="14"/>
  <c r="F68" i="14"/>
  <c r="G67" i="14"/>
  <c r="G68" i="14" s="1"/>
  <c r="AC20" i="8"/>
  <c r="AC22" i="8" s="1"/>
  <c r="AC54" i="9"/>
  <c r="AB25" i="5"/>
  <c r="S30" i="8"/>
  <c r="T26" i="8"/>
  <c r="T27" i="8" s="1"/>
  <c r="AA23" i="5"/>
  <c r="AB10" i="5"/>
  <c r="AB12" i="5" s="1"/>
  <c r="AB23" i="5" s="1"/>
  <c r="AA13" i="5"/>
  <c r="Z17" i="5"/>
  <c r="Z39" i="6"/>
  <c r="Z38" i="6" s="1"/>
  <c r="Z23" i="5"/>
  <c r="AC41" i="9"/>
  <c r="AC18" i="6"/>
  <c r="Y13" i="6"/>
  <c r="AC27" i="4"/>
  <c r="AC42" i="6" s="1"/>
  <c r="AC23" i="4"/>
  <c r="AC30" i="5" s="1"/>
  <c r="AC28" i="5" s="1"/>
  <c r="AC18" i="4"/>
  <c r="AC24" i="4"/>
  <c r="AC40" i="5" s="1"/>
  <c r="AC21" i="4"/>
  <c r="AC20" i="5" s="1"/>
  <c r="AC19" i="5" s="1"/>
  <c r="AC22" i="4"/>
  <c r="AC26" i="5" s="1"/>
  <c r="AC24" i="5" s="1"/>
  <c r="AC19" i="4"/>
  <c r="AC25" i="4"/>
  <c r="AC20" i="4"/>
  <c r="AC16" i="5" s="1"/>
  <c r="AC15" i="5" s="1"/>
  <c r="AC26" i="4"/>
  <c r="AC41" i="6" s="1"/>
  <c r="AC17" i="4"/>
  <c r="AC11" i="5" s="1"/>
  <c r="Z13" i="7"/>
  <c r="Y42" i="5"/>
  <c r="U35" i="8"/>
  <c r="P72" i="2"/>
  <c r="U34" i="8"/>
  <c r="W52" i="9"/>
  <c r="W55" i="9" s="1"/>
  <c r="W36" i="6"/>
  <c r="W10" i="8"/>
  <c r="E16" i="16"/>
  <c r="G16" i="16" s="1"/>
  <c r="AD4" i="8"/>
  <c r="AD4" i="6"/>
  <c r="AD4" i="9"/>
  <c r="Y69" i="2"/>
  <c r="AD4" i="7"/>
  <c r="AD4" i="5"/>
  <c r="AB33" i="5"/>
  <c r="G98" i="14" l="1"/>
  <c r="Y26" i="9"/>
  <c r="Y25" i="7" s="1"/>
  <c r="Y26" i="7" s="1"/>
  <c r="Y28" i="7" s="1"/>
  <c r="AA51" i="5"/>
  <c r="AA54" i="5" s="1"/>
  <c r="E24" i="16"/>
  <c r="G24" i="16" s="1"/>
  <c r="X56" i="5"/>
  <c r="X58" i="5"/>
  <c r="X51" i="6" s="1"/>
  <c r="AC40" i="6"/>
  <c r="G97" i="14"/>
  <c r="G10" i="13"/>
  <c r="AD20" i="8"/>
  <c r="AD22" i="8" s="1"/>
  <c r="AD54" i="9"/>
  <c r="AD18" i="4"/>
  <c r="AD23" i="4"/>
  <c r="AD30" i="5" s="1"/>
  <c r="AD28" i="5" s="1"/>
  <c r="AD21" i="4"/>
  <c r="AD20" i="5" s="1"/>
  <c r="AD19" i="5" s="1"/>
  <c r="AD22" i="4"/>
  <c r="AD26" i="5" s="1"/>
  <c r="AD24" i="5" s="1"/>
  <c r="AD19" i="4"/>
  <c r="AD20" i="4"/>
  <c r="AD16" i="5" s="1"/>
  <c r="AD15" i="5" s="1"/>
  <c r="AD24" i="4"/>
  <c r="AD40" i="5" s="1"/>
  <c r="AD26" i="4"/>
  <c r="AD41" i="6" s="1"/>
  <c r="AD25" i="4"/>
  <c r="AD17" i="4"/>
  <c r="AD11" i="5" s="1"/>
  <c r="AD27" i="4"/>
  <c r="AD42" i="6" s="1"/>
  <c r="Z43" i="5"/>
  <c r="Z27" i="5"/>
  <c r="AF7" i="9"/>
  <c r="AF7" i="8"/>
  <c r="AF7" i="7"/>
  <c r="AF14" i="4"/>
  <c r="AF7" i="5"/>
  <c r="AF7" i="6"/>
  <c r="AF4" i="4"/>
  <c r="Y11" i="9"/>
  <c r="Y20" i="6"/>
  <c r="Z10" i="6"/>
  <c r="Z41" i="5"/>
  <c r="Z15" i="6" s="1"/>
  <c r="Z14" i="9"/>
  <c r="Z24" i="9" s="1"/>
  <c r="Z24" i="7" s="1"/>
  <c r="AB50" i="5"/>
  <c r="AB34" i="5"/>
  <c r="Z43" i="6"/>
  <c r="AB17" i="5"/>
  <c r="AB39" i="6"/>
  <c r="AB38" i="6" s="1"/>
  <c r="V32" i="8"/>
  <c r="V25" i="8"/>
  <c r="W13" i="8"/>
  <c r="W14" i="8" s="1"/>
  <c r="AB13" i="5"/>
  <c r="AC10" i="5"/>
  <c r="AC12" i="5" s="1"/>
  <c r="AF5" i="7"/>
  <c r="AF5" i="9"/>
  <c r="AF5" i="8"/>
  <c r="AF5" i="6"/>
  <c r="AF10" i="4"/>
  <c r="AF5" i="5"/>
  <c r="AD41" i="9"/>
  <c r="AD18" i="6"/>
  <c r="J40" i="13"/>
  <c r="I40" i="13"/>
  <c r="AA43" i="5"/>
  <c r="AA27" i="5"/>
  <c r="AA36" i="5" s="1"/>
  <c r="AA37" i="5" s="1"/>
  <c r="AE36" i="4"/>
  <c r="AE26" i="6" s="1"/>
  <c r="AE35" i="4"/>
  <c r="AE53" i="6" s="1"/>
  <c r="AE47" i="4"/>
  <c r="AE21" i="9" s="1"/>
  <c r="AE30" i="4"/>
  <c r="AE49" i="5" s="1"/>
  <c r="AE46" i="4"/>
  <c r="AE17" i="9" s="1"/>
  <c r="AE29" i="4"/>
  <c r="AE32" i="5" s="1"/>
  <c r="AE38" i="4"/>
  <c r="AE49" i="9" s="1"/>
  <c r="AE48" i="4"/>
  <c r="AE23" i="9" s="1"/>
  <c r="AE51" i="4"/>
  <c r="AE25" i="9" s="1"/>
  <c r="AE41" i="4"/>
  <c r="AE44" i="4"/>
  <c r="AE21" i="8" s="1"/>
  <c r="AE42" i="4"/>
  <c r="AE43" i="4"/>
  <c r="AE46" i="9" s="1"/>
  <c r="AE17" i="8" s="1"/>
  <c r="AE37" i="4"/>
  <c r="AE32" i="6" s="1"/>
  <c r="AE28" i="4"/>
  <c r="AE33" i="4"/>
  <c r="AE60" i="5" s="1"/>
  <c r="AE39" i="4"/>
  <c r="AE45" i="4"/>
  <c r="AE15" i="9" s="1"/>
  <c r="AE50" i="4"/>
  <c r="AE27" i="9" s="1"/>
  <c r="AE34" i="4"/>
  <c r="AE49" i="4"/>
  <c r="AE19" i="9" s="1"/>
  <c r="AE40" i="4"/>
  <c r="AE32" i="4"/>
  <c r="AE55" i="5" s="1"/>
  <c r="AE31" i="4"/>
  <c r="AE52" i="5" s="1"/>
  <c r="AE11" i="4"/>
  <c r="AA43" i="6"/>
  <c r="X22" i="9"/>
  <c r="X23" i="7" s="1"/>
  <c r="X26" i="9"/>
  <c r="X25" i="7" s="1"/>
  <c r="AE4" i="7"/>
  <c r="AE4" i="9"/>
  <c r="AE4" i="8"/>
  <c r="Z69" i="2"/>
  <c r="AE4" i="6"/>
  <c r="AE4" i="5"/>
  <c r="AA10" i="6"/>
  <c r="AA14" i="9"/>
  <c r="AA24" i="9" s="1"/>
  <c r="AA24" i="7" s="1"/>
  <c r="AA41" i="5"/>
  <c r="AA15" i="6" s="1"/>
  <c r="AB27" i="5"/>
  <c r="AB43" i="5"/>
  <c r="AC40" i="9"/>
  <c r="AC42" i="9" s="1"/>
  <c r="AB18" i="7"/>
  <c r="T30" i="8"/>
  <c r="U26" i="8"/>
  <c r="U27" i="8" s="1"/>
  <c r="AD45" i="9"/>
  <c r="AD47" i="9" s="1"/>
  <c r="AC11" i="7"/>
  <c r="AC29" i="5"/>
  <c r="I39" i="13"/>
  <c r="J39" i="13"/>
  <c r="X11" i="9"/>
  <c r="X20" i="6"/>
  <c r="Y56" i="5"/>
  <c r="Y58" i="5"/>
  <c r="E27" i="16"/>
  <c r="G27" i="16" s="1"/>
  <c r="AC25" i="5"/>
  <c r="AG7" i="4"/>
  <c r="AG8" i="6"/>
  <c r="AG8" i="8"/>
  <c r="AG8" i="5"/>
  <c r="AG5" i="4"/>
  <c r="AG8" i="7"/>
  <c r="AG9" i="4"/>
  <c r="AG10" i="9" s="1"/>
  <c r="AG6" i="4"/>
  <c r="AG8" i="9"/>
  <c r="AH8" i="4"/>
  <c r="AF6" i="9"/>
  <c r="AF6" i="8"/>
  <c r="AF6" i="6"/>
  <c r="AF6" i="5"/>
  <c r="AF6" i="7"/>
  <c r="AC33" i="5"/>
  <c r="AA13" i="7"/>
  <c r="X59" i="5" l="1"/>
  <c r="X63" i="5"/>
  <c r="X61" i="5"/>
  <c r="X62" i="5" s="1"/>
  <c r="AA53" i="5"/>
  <c r="AD33" i="5"/>
  <c r="AD50" i="5" s="1"/>
  <c r="Z42" i="5"/>
  <c r="X26" i="7"/>
  <c r="X28" i="7" s="1"/>
  <c r="AA44" i="5"/>
  <c r="AA16" i="6"/>
  <c r="AA19" i="6" s="1"/>
  <c r="AA12" i="9" s="1"/>
  <c r="AC50" i="5"/>
  <c r="AC34" i="5"/>
  <c r="AC13" i="5"/>
  <c r="AD10" i="5"/>
  <c r="Z11" i="6"/>
  <c r="Z13" i="6" s="1"/>
  <c r="Z45" i="5"/>
  <c r="Z46" i="5" s="1"/>
  <c r="AC17" i="5"/>
  <c r="AC39" i="6"/>
  <c r="AC38" i="6" s="1"/>
  <c r="AC23" i="5"/>
  <c r="AF4" i="7"/>
  <c r="AF4" i="6"/>
  <c r="AA69" i="2"/>
  <c r="AF4" i="8"/>
  <c r="AF4" i="5"/>
  <c r="AF4" i="9"/>
  <c r="AE20" i="4"/>
  <c r="AE16" i="5" s="1"/>
  <c r="AE15" i="5" s="1"/>
  <c r="AE18" i="4"/>
  <c r="AE22" i="4"/>
  <c r="AE26" i="5" s="1"/>
  <c r="AE24" i="5" s="1"/>
  <c r="AE19" i="4"/>
  <c r="AE25" i="4"/>
  <c r="AE17" i="4"/>
  <c r="AE11" i="5" s="1"/>
  <c r="AE24" i="4"/>
  <c r="AE40" i="5" s="1"/>
  <c r="AE23" i="4"/>
  <c r="AE30" i="5" s="1"/>
  <c r="AE28" i="5" s="1"/>
  <c r="AE21" i="4"/>
  <c r="AE20" i="5" s="1"/>
  <c r="AE19" i="5" s="1"/>
  <c r="AE27" i="4"/>
  <c r="AE42" i="6" s="1"/>
  <c r="AE26" i="4"/>
  <c r="AE41" i="6" s="1"/>
  <c r="AH7" i="4"/>
  <c r="AH8" i="6"/>
  <c r="AH8" i="8"/>
  <c r="AH6" i="4"/>
  <c r="AH8" i="5"/>
  <c r="AH5" i="4"/>
  <c r="AH8" i="7"/>
  <c r="AI8" i="4"/>
  <c r="AH9" i="4"/>
  <c r="AH10" i="9" s="1"/>
  <c r="AH8" i="9"/>
  <c r="AC18" i="7"/>
  <c r="AD40" i="9"/>
  <c r="AD42" i="9" s="1"/>
  <c r="V35" i="8"/>
  <c r="V34" i="8"/>
  <c r="Q72" i="2"/>
  <c r="Y16" i="9"/>
  <c r="Y35" i="9"/>
  <c r="Y16" i="8" s="1"/>
  <c r="Y18" i="8" s="1"/>
  <c r="Y28" i="9"/>
  <c r="Y20" i="7" s="1"/>
  <c r="Y20" i="9"/>
  <c r="Y15" i="7" s="1"/>
  <c r="AF43" i="4"/>
  <c r="AF46" i="9" s="1"/>
  <c r="AF17" i="8" s="1"/>
  <c r="AF35" i="4"/>
  <c r="AF53" i="6" s="1"/>
  <c r="AF47" i="4"/>
  <c r="AF21" i="9" s="1"/>
  <c r="AF30" i="4"/>
  <c r="AF49" i="5" s="1"/>
  <c r="AF46" i="4"/>
  <c r="AF17" i="9" s="1"/>
  <c r="AF32" i="4"/>
  <c r="AF55" i="5" s="1"/>
  <c r="AF29" i="4"/>
  <c r="AF32" i="5" s="1"/>
  <c r="AF48" i="4"/>
  <c r="AF23" i="9" s="1"/>
  <c r="AF51" i="4"/>
  <c r="AF25" i="9" s="1"/>
  <c r="AF38" i="4"/>
  <c r="AF49" i="9" s="1"/>
  <c r="AF44" i="4"/>
  <c r="AF21" i="8" s="1"/>
  <c r="AF31" i="4"/>
  <c r="AF52" i="5" s="1"/>
  <c r="AF28" i="4"/>
  <c r="AF37" i="4"/>
  <c r="AF32" i="6" s="1"/>
  <c r="AF33" i="4"/>
  <c r="AF60" i="5" s="1"/>
  <c r="AF42" i="4"/>
  <c r="AF40" i="4"/>
  <c r="AF39" i="4"/>
  <c r="AF45" i="4"/>
  <c r="AF15" i="9" s="1"/>
  <c r="AF36" i="4"/>
  <c r="AF26" i="6" s="1"/>
  <c r="AF49" i="4"/>
  <c r="AF19" i="9" s="1"/>
  <c r="AF41" i="4"/>
  <c r="AF50" i="4"/>
  <c r="AF27" i="9" s="1"/>
  <c r="AF34" i="4"/>
  <c r="AF11" i="4"/>
  <c r="AB44" i="5"/>
  <c r="AB16" i="6"/>
  <c r="AB43" i="6"/>
  <c r="Z44" i="5"/>
  <c r="Z16" i="6"/>
  <c r="Z19" i="6" s="1"/>
  <c r="Z12" i="9" s="1"/>
  <c r="U30" i="8"/>
  <c r="V26" i="8"/>
  <c r="V27" i="8" s="1"/>
  <c r="AE20" i="8"/>
  <c r="AE22" i="8" s="1"/>
  <c r="AE54" i="9"/>
  <c r="Y21" i="6"/>
  <c r="X35" i="9"/>
  <c r="X28" i="9"/>
  <c r="X20" i="7" s="1"/>
  <c r="X16" i="9"/>
  <c r="X20" i="9"/>
  <c r="X15" i="7" s="1"/>
  <c r="AG6" i="9"/>
  <c r="AG6" i="8"/>
  <c r="AG6" i="6"/>
  <c r="AG6" i="5"/>
  <c r="AG6" i="7"/>
  <c r="AE45" i="9"/>
  <c r="AE47" i="9" s="1"/>
  <c r="AD11" i="7"/>
  <c r="W32" i="8"/>
  <c r="W25" i="8"/>
  <c r="AB11" i="6"/>
  <c r="AB45" i="5"/>
  <c r="AB46" i="5" s="1"/>
  <c r="AD25" i="5"/>
  <c r="AG5" i="9"/>
  <c r="AG5" i="8"/>
  <c r="AG5" i="6"/>
  <c r="AG10" i="4"/>
  <c r="AG5" i="7"/>
  <c r="AG5" i="5"/>
  <c r="AB17" i="6"/>
  <c r="AB13" i="9"/>
  <c r="AB18" i="9" s="1"/>
  <c r="AD29" i="5"/>
  <c r="AB12" i="6"/>
  <c r="AB51" i="5"/>
  <c r="X53" i="9"/>
  <c r="X12" i="8"/>
  <c r="X45" i="6"/>
  <c r="X21" i="6"/>
  <c r="AB10" i="6"/>
  <c r="AB41" i="5"/>
  <c r="AB15" i="6" s="1"/>
  <c r="AB14" i="9"/>
  <c r="AB24" i="9" s="1"/>
  <c r="AB24" i="7" s="1"/>
  <c r="AB36" i="5"/>
  <c r="AB37" i="5" s="1"/>
  <c r="AA42" i="5"/>
  <c r="AD40" i="6"/>
  <c r="Z36" i="5"/>
  <c r="Z37" i="5" s="1"/>
  <c r="AE41" i="9"/>
  <c r="AE18" i="6"/>
  <c r="AG7" i="9"/>
  <c r="AG7" i="8"/>
  <c r="AG7" i="5"/>
  <c r="AG14" i="4"/>
  <c r="AG7" i="7"/>
  <c r="AG7" i="6"/>
  <c r="AG4" i="4"/>
  <c r="Y51" i="6"/>
  <c r="Y61" i="5"/>
  <c r="Y63" i="5"/>
  <c r="Y59" i="5"/>
  <c r="AA11" i="6"/>
  <c r="AA13" i="6" s="1"/>
  <c r="AA38" i="5"/>
  <c r="AA45" i="5"/>
  <c r="AA46" i="5" s="1"/>
  <c r="H8" i="13" l="1"/>
  <c r="I8" i="13" s="1"/>
  <c r="X44" i="6"/>
  <c r="X57" i="6"/>
  <c r="S70" i="2"/>
  <c r="AD34" i="5"/>
  <c r="AD12" i="6" s="1"/>
  <c r="AE40" i="6"/>
  <c r="AB42" i="5"/>
  <c r="AB56" i="5" s="1"/>
  <c r="Z58" i="5"/>
  <c r="Z61" i="5" s="1"/>
  <c r="Z56" i="5"/>
  <c r="AF41" i="9"/>
  <c r="AF18" i="6"/>
  <c r="AE33" i="5"/>
  <c r="AG45" i="4"/>
  <c r="AG15" i="9" s="1"/>
  <c r="AG29" i="4"/>
  <c r="AG32" i="5" s="1"/>
  <c r="AG47" i="4"/>
  <c r="AG21" i="9" s="1"/>
  <c r="AG30" i="4"/>
  <c r="AG49" i="5" s="1"/>
  <c r="AG42" i="4"/>
  <c r="AG46" i="4"/>
  <c r="AG17" i="9" s="1"/>
  <c r="AG35" i="4"/>
  <c r="AG53" i="6" s="1"/>
  <c r="AG32" i="4"/>
  <c r="AG55" i="5" s="1"/>
  <c r="AG43" i="4"/>
  <c r="AG46" i="9" s="1"/>
  <c r="AG17" i="8" s="1"/>
  <c r="AG48" i="4"/>
  <c r="AG23" i="9" s="1"/>
  <c r="AG41" i="4"/>
  <c r="AG51" i="4"/>
  <c r="AG25" i="9" s="1"/>
  <c r="AG38" i="4"/>
  <c r="AG49" i="9" s="1"/>
  <c r="AG31" i="4"/>
  <c r="AG52" i="5" s="1"/>
  <c r="AG28" i="4"/>
  <c r="AG33" i="4"/>
  <c r="AG60" i="5" s="1"/>
  <c r="AG37" i="4"/>
  <c r="AG32" i="6" s="1"/>
  <c r="AG40" i="4"/>
  <c r="AG50" i="4"/>
  <c r="AG27" i="9" s="1"/>
  <c r="AG36" i="4"/>
  <c r="AG26" i="6" s="1"/>
  <c r="AG44" i="4"/>
  <c r="AG21" i="8" s="1"/>
  <c r="AG49" i="4"/>
  <c r="AG19" i="9" s="1"/>
  <c r="AG34" i="4"/>
  <c r="AG39" i="4"/>
  <c r="AG11" i="4"/>
  <c r="AB38" i="5"/>
  <c r="AD13" i="9"/>
  <c r="AD18" i="9" s="1"/>
  <c r="AD17" i="6"/>
  <c r="AE29" i="5"/>
  <c r="AC27" i="5"/>
  <c r="AC36" i="5" s="1"/>
  <c r="AC37" i="5" s="1"/>
  <c r="AC43" i="5"/>
  <c r="AE25" i="5"/>
  <c r="AC43" i="6"/>
  <c r="AC14" i="9"/>
  <c r="AC24" i="9" s="1"/>
  <c r="AC24" i="7" s="1"/>
  <c r="AC41" i="5"/>
  <c r="AC15" i="6" s="1"/>
  <c r="AC10" i="6"/>
  <c r="AF27" i="4"/>
  <c r="AF42" i="6" s="1"/>
  <c r="AF18" i="4"/>
  <c r="AF21" i="4"/>
  <c r="AF20" i="5" s="1"/>
  <c r="AF19" i="5" s="1"/>
  <c r="AF22" i="4"/>
  <c r="AF26" i="5" s="1"/>
  <c r="AF24" i="5" s="1"/>
  <c r="AF19" i="4"/>
  <c r="AF25" i="4"/>
  <c r="AF17" i="4"/>
  <c r="AF11" i="5" s="1"/>
  <c r="AF20" i="4"/>
  <c r="AF16" i="5" s="1"/>
  <c r="AF15" i="5" s="1"/>
  <c r="AF24" i="4"/>
  <c r="AF40" i="5" s="1"/>
  <c r="AF26" i="4"/>
  <c r="AF41" i="6" s="1"/>
  <c r="AF23" i="4"/>
  <c r="AF30" i="5" s="1"/>
  <c r="AF28" i="5" s="1"/>
  <c r="Z22" i="9"/>
  <c r="Z23" i="7" s="1"/>
  <c r="Z26" i="9"/>
  <c r="Z25" i="7" s="1"/>
  <c r="V30" i="8"/>
  <c r="W26" i="8"/>
  <c r="W27" i="8" s="1"/>
  <c r="W35" i="8"/>
  <c r="R72" i="2"/>
  <c r="W34" i="8"/>
  <c r="E12" i="16"/>
  <c r="G12" i="16" s="1"/>
  <c r="AD18" i="7"/>
  <c r="AE40" i="9"/>
  <c r="AE42" i="9" s="1"/>
  <c r="AI8" i="8"/>
  <c r="AI8" i="6"/>
  <c r="AJ8" i="4"/>
  <c r="AI6" i="4"/>
  <c r="AI8" i="7"/>
  <c r="AI8" i="5"/>
  <c r="AI5" i="4"/>
  <c r="AI8" i="9"/>
  <c r="AI7" i="4"/>
  <c r="AI9" i="4"/>
  <c r="AI10" i="9" s="1"/>
  <c r="Z38" i="5"/>
  <c r="AA26" i="9"/>
  <c r="AA25" i="7" s="1"/>
  <c r="AA22" i="9"/>
  <c r="AA23" i="7" s="1"/>
  <c r="AB13" i="7"/>
  <c r="AB31" i="9"/>
  <c r="AA58" i="5"/>
  <c r="AA56" i="5"/>
  <c r="AD13" i="5"/>
  <c r="AE10" i="5"/>
  <c r="AE12" i="5" s="1"/>
  <c r="Z11" i="9"/>
  <c r="Z20" i="6"/>
  <c r="AA11" i="9"/>
  <c r="AA20" i="6"/>
  <c r="X25" i="6"/>
  <c r="X24" i="6"/>
  <c r="X23" i="6"/>
  <c r="Y53" i="9"/>
  <c r="Y12" i="8"/>
  <c r="AH6" i="9"/>
  <c r="AH6" i="7"/>
  <c r="AH6" i="8"/>
  <c r="AH6" i="6"/>
  <c r="AH6" i="5"/>
  <c r="AD12" i="5"/>
  <c r="AF20" i="8"/>
  <c r="AF22" i="8" s="1"/>
  <c r="AF54" i="9"/>
  <c r="AC12" i="6"/>
  <c r="AC51" i="5"/>
  <c r="AH5" i="9"/>
  <c r="AH5" i="8"/>
  <c r="AH5" i="6"/>
  <c r="AH10" i="4"/>
  <c r="AH5" i="5"/>
  <c r="AH5" i="7"/>
  <c r="Y62" i="5"/>
  <c r="Y57" i="6"/>
  <c r="T70" i="2"/>
  <c r="Y44" i="6"/>
  <c r="AB54" i="5"/>
  <c r="AB53" i="5"/>
  <c r="X12" i="7"/>
  <c r="X29" i="9"/>
  <c r="X30" i="9" s="1"/>
  <c r="AC13" i="9"/>
  <c r="AC18" i="9" s="1"/>
  <c r="AC31" i="9" s="1"/>
  <c r="AC17" i="6"/>
  <c r="AE11" i="7"/>
  <c r="AF45" i="9"/>
  <c r="AF47" i="9" s="1"/>
  <c r="AB13" i="6"/>
  <c r="AG4" i="7"/>
  <c r="AG4" i="8"/>
  <c r="AB69" i="2"/>
  <c r="AG4" i="9"/>
  <c r="AG4" i="6"/>
  <c r="AG4" i="5"/>
  <c r="AH7" i="9"/>
  <c r="AH7" i="8"/>
  <c r="AH7" i="5"/>
  <c r="AH7" i="6"/>
  <c r="AH14" i="4"/>
  <c r="AH7" i="7"/>
  <c r="AH4" i="4"/>
  <c r="Y29" i="9"/>
  <c r="Y30" i="9" s="1"/>
  <c r="Y12" i="7"/>
  <c r="AB19" i="6"/>
  <c r="AB12" i="9" s="1"/>
  <c r="X16" i="8"/>
  <c r="X18" i="8" s="1"/>
  <c r="X37" i="9"/>
  <c r="J8" i="13" l="1"/>
  <c r="AB58" i="5"/>
  <c r="AB51" i="6" s="1"/>
  <c r="AD51" i="5"/>
  <c r="AD53" i="5" s="1"/>
  <c r="AC42" i="5"/>
  <c r="AF33" i="5"/>
  <c r="Z63" i="5"/>
  <c r="AA26" i="7"/>
  <c r="AA28" i="7" s="1"/>
  <c r="Z59" i="5"/>
  <c r="Z51" i="6"/>
  <c r="Z12" i="8" s="1"/>
  <c r="AF40" i="6"/>
  <c r="AE17" i="5"/>
  <c r="AE39" i="6"/>
  <c r="AE38" i="6" s="1"/>
  <c r="AG25" i="4"/>
  <c r="AG21" i="4"/>
  <c r="AG20" i="5" s="1"/>
  <c r="AG19" i="5" s="1"/>
  <c r="AG18" i="4"/>
  <c r="AG22" i="4"/>
  <c r="AG26" i="5" s="1"/>
  <c r="AG24" i="5" s="1"/>
  <c r="AG19" i="4"/>
  <c r="AG20" i="4"/>
  <c r="AG16" i="5" s="1"/>
  <c r="AG15" i="5" s="1"/>
  <c r="AG24" i="4"/>
  <c r="AG40" i="5" s="1"/>
  <c r="AG27" i="4"/>
  <c r="AG42" i="6" s="1"/>
  <c r="AG17" i="4"/>
  <c r="AG11" i="5" s="1"/>
  <c r="AG26" i="4"/>
  <c r="AG41" i="6" s="1"/>
  <c r="AG23" i="4"/>
  <c r="AG30" i="5" s="1"/>
  <c r="AG28" i="5" s="1"/>
  <c r="AF50" i="5"/>
  <c r="AF34" i="5"/>
  <c r="AI7" i="8"/>
  <c r="AI7" i="9"/>
  <c r="AI7" i="5"/>
  <c r="AI7" i="6"/>
  <c r="AI7" i="7"/>
  <c r="AI14" i="4"/>
  <c r="AI4" i="4"/>
  <c r="AD17" i="5"/>
  <c r="AD39" i="6"/>
  <c r="AD38" i="6" s="1"/>
  <c r="AD23" i="5"/>
  <c r="AG41" i="9"/>
  <c r="AG18" i="6"/>
  <c r="AI6" i="8"/>
  <c r="AI6" i="6"/>
  <c r="AI6" i="5"/>
  <c r="AI6" i="7"/>
  <c r="AI6" i="9"/>
  <c r="AB26" i="9"/>
  <c r="AB25" i="7" s="1"/>
  <c r="AB22" i="9"/>
  <c r="AB23" i="7" s="1"/>
  <c r="Z62" i="5"/>
  <c r="Z57" i="6"/>
  <c r="U70" i="2"/>
  <c r="Z44" i="6"/>
  <c r="AA16" i="9"/>
  <c r="AA20" i="9"/>
  <c r="AA15" i="7" s="1"/>
  <c r="AA35" i="9"/>
  <c r="AA16" i="8" s="1"/>
  <c r="AA18" i="8" s="1"/>
  <c r="AA28" i="9"/>
  <c r="AA20" i="7" s="1"/>
  <c r="Z28" i="9"/>
  <c r="Z20" i="7" s="1"/>
  <c r="Z20" i="9"/>
  <c r="Z15" i="7" s="1"/>
  <c r="Z16" i="9"/>
  <c r="Z35" i="9"/>
  <c r="Z16" i="8" s="1"/>
  <c r="Z18" i="8" s="1"/>
  <c r="AE23" i="5"/>
  <c r="AI5" i="8"/>
  <c r="AI5" i="9"/>
  <c r="AI5" i="6"/>
  <c r="AI10" i="4"/>
  <c r="AI5" i="5"/>
  <c r="AI5" i="7"/>
  <c r="AF40" i="9"/>
  <c r="AF42" i="9" s="1"/>
  <c r="AE18" i="7"/>
  <c r="AA21" i="6"/>
  <c r="AF11" i="7"/>
  <c r="AG45" i="9"/>
  <c r="AG47" i="9" s="1"/>
  <c r="X27" i="6"/>
  <c r="AC11" i="6"/>
  <c r="AC13" i="6" s="1"/>
  <c r="AC38" i="5"/>
  <c r="AC45" i="5"/>
  <c r="AC46" i="5" s="1"/>
  <c r="AD31" i="9"/>
  <c r="AC13" i="7"/>
  <c r="Y32" i="9"/>
  <c r="Y13" i="8" s="1"/>
  <c r="X32" i="9"/>
  <c r="X13" i="8" s="1"/>
  <c r="Z21" i="6"/>
  <c r="W30" i="8"/>
  <c r="X26" i="8"/>
  <c r="E11" i="16"/>
  <c r="G11" i="16" s="1"/>
  <c r="AD13" i="7"/>
  <c r="AE50" i="5"/>
  <c r="AE34" i="5"/>
  <c r="AF29" i="5"/>
  <c r="AA51" i="6"/>
  <c r="AA61" i="5"/>
  <c r="AA59" i="5"/>
  <c r="AA63" i="5"/>
  <c r="AH36" i="4"/>
  <c r="AH26" i="6" s="1"/>
  <c r="AH47" i="4"/>
  <c r="AH21" i="9" s="1"/>
  <c r="AH30" i="4"/>
  <c r="AH49" i="5" s="1"/>
  <c r="AH42" i="4"/>
  <c r="AH43" i="4"/>
  <c r="AH46" i="9" s="1"/>
  <c r="AH17" i="8" s="1"/>
  <c r="AH51" i="4"/>
  <c r="AH25" i="9" s="1"/>
  <c r="AH38" i="4"/>
  <c r="AH49" i="9" s="1"/>
  <c r="AH35" i="4"/>
  <c r="AH53" i="6" s="1"/>
  <c r="AH44" i="4"/>
  <c r="AH21" i="8" s="1"/>
  <c r="AH41" i="4"/>
  <c r="AH37" i="4"/>
  <c r="AH32" i="6" s="1"/>
  <c r="AH34" i="4"/>
  <c r="AH46" i="4"/>
  <c r="AH17" i="9" s="1"/>
  <c r="AH33" i="4"/>
  <c r="AH60" i="5" s="1"/>
  <c r="AH48" i="4"/>
  <c r="AH23" i="9" s="1"/>
  <c r="AH29" i="4"/>
  <c r="AH32" i="5" s="1"/>
  <c r="AH28" i="4"/>
  <c r="AH40" i="4"/>
  <c r="AH50" i="4"/>
  <c r="AH27" i="9" s="1"/>
  <c r="AH45" i="4"/>
  <c r="AH15" i="9" s="1"/>
  <c r="AH49" i="4"/>
  <c r="AH19" i="9" s="1"/>
  <c r="AH32" i="4"/>
  <c r="AH55" i="5" s="1"/>
  <c r="AH31" i="4"/>
  <c r="AH52" i="5" s="1"/>
  <c r="AH39" i="4"/>
  <c r="AH11" i="4"/>
  <c r="AH4" i="9"/>
  <c r="AH4" i="8"/>
  <c r="AC69" i="2"/>
  <c r="AH4" i="6"/>
  <c r="AH4" i="7"/>
  <c r="AH4" i="5"/>
  <c r="AC54" i="5"/>
  <c r="AC53" i="5"/>
  <c r="AJ8" i="9"/>
  <c r="AJ8" i="8"/>
  <c r="AJ8" i="6"/>
  <c r="AJ9" i="4"/>
  <c r="AJ10" i="9" s="1"/>
  <c r="AJ8" i="7"/>
  <c r="AJ8" i="5"/>
  <c r="AJ5" i="4"/>
  <c r="AK8" i="4"/>
  <c r="AJ6" i="4"/>
  <c r="AJ7" i="4"/>
  <c r="AF10" i="5"/>
  <c r="AE13" i="5"/>
  <c r="AF25" i="5"/>
  <c r="AB11" i="9"/>
  <c r="AB20" i="6"/>
  <c r="AC16" i="6"/>
  <c r="AC19" i="6" s="1"/>
  <c r="AC12" i="9" s="1"/>
  <c r="AC44" i="5"/>
  <c r="AG20" i="8"/>
  <c r="AG22" i="8" s="1"/>
  <c r="AG54" i="9"/>
  <c r="Y34" i="9"/>
  <c r="X17" i="7"/>
  <c r="Z26" i="7"/>
  <c r="Z28" i="7" s="1"/>
  <c r="AG33" i="5" l="1"/>
  <c r="AG50" i="5" s="1"/>
  <c r="AB59" i="5"/>
  <c r="AB61" i="5"/>
  <c r="AB62" i="5" s="1"/>
  <c r="AB63" i="5"/>
  <c r="AD54" i="5"/>
  <c r="AG40" i="6"/>
  <c r="Z53" i="9"/>
  <c r="AB26" i="7"/>
  <c r="AB28" i="7" s="1"/>
  <c r="AC56" i="5"/>
  <c r="AC58" i="5"/>
  <c r="AC61" i="5" s="1"/>
  <c r="AC26" i="9"/>
  <c r="AC25" i="7" s="1"/>
  <c r="AC22" i="9"/>
  <c r="AC23" i="7" s="1"/>
  <c r="AI4" i="8"/>
  <c r="AI4" i="9"/>
  <c r="AI4" i="6"/>
  <c r="AD69" i="2"/>
  <c r="AI4" i="7"/>
  <c r="AI4" i="5"/>
  <c r="AC11" i="9"/>
  <c r="AC20" i="6"/>
  <c r="AG10" i="5"/>
  <c r="AG12" i="5" s="1"/>
  <c r="AG23" i="5" s="1"/>
  <c r="AF13" i="5"/>
  <c r="AA29" i="9"/>
  <c r="AA30" i="9" s="1"/>
  <c r="AA12" i="7"/>
  <c r="AF12" i="5"/>
  <c r="AJ6" i="8"/>
  <c r="AJ6" i="7"/>
  <c r="AJ6" i="6"/>
  <c r="AJ6" i="5"/>
  <c r="AJ6" i="9"/>
  <c r="AJ7" i="8"/>
  <c r="AJ7" i="9"/>
  <c r="AJ7" i="6"/>
  <c r="AJ7" i="5"/>
  <c r="AJ7" i="7"/>
  <c r="AJ14" i="4"/>
  <c r="AJ4" i="4"/>
  <c r="AD41" i="5"/>
  <c r="AD15" i="6" s="1"/>
  <c r="AD10" i="6"/>
  <c r="AD14" i="9"/>
  <c r="AD24" i="9" s="1"/>
  <c r="AD24" i="7" s="1"/>
  <c r="AH20" i="8"/>
  <c r="AH22" i="8" s="1"/>
  <c r="AH54" i="9"/>
  <c r="AB53" i="9"/>
  <c r="AB12" i="8"/>
  <c r="AE27" i="5"/>
  <c r="AE36" i="5" s="1"/>
  <c r="AE37" i="5" s="1"/>
  <c r="AE43" i="5"/>
  <c r="AF51" i="5"/>
  <c r="AF12" i="6"/>
  <c r="AG11" i="7"/>
  <c r="AH45" i="9"/>
  <c r="AH47" i="9" s="1"/>
  <c r="AJ5" i="8"/>
  <c r="AJ5" i="7"/>
  <c r="AJ5" i="6"/>
  <c r="AJ5" i="9"/>
  <c r="AJ10" i="4"/>
  <c r="AJ5" i="5"/>
  <c r="AF17" i="6"/>
  <c r="AF13" i="9"/>
  <c r="AF18" i="9" s="1"/>
  <c r="AG25" i="5"/>
  <c r="AD43" i="6"/>
  <c r="AG29" i="5"/>
  <c r="X28" i="6"/>
  <c r="X29" i="6"/>
  <c r="AK8" i="9"/>
  <c r="AK8" i="8"/>
  <c r="AK8" i="7"/>
  <c r="AK9" i="4"/>
  <c r="AK10" i="9" s="1"/>
  <c r="AK8" i="5"/>
  <c r="AK5" i="4"/>
  <c r="AK7" i="4"/>
  <c r="AK8" i="6"/>
  <c r="AK6" i="4"/>
  <c r="AD27" i="5"/>
  <c r="AD43" i="5"/>
  <c r="Z12" i="7"/>
  <c r="Z29" i="9"/>
  <c r="Z30" i="9" s="1"/>
  <c r="AB21" i="6"/>
  <c r="AB35" i="9"/>
  <c r="AB16" i="8" s="1"/>
  <c r="AB18" i="8" s="1"/>
  <c r="AB16" i="9"/>
  <c r="AB20" i="9"/>
  <c r="AB15" i="7" s="1"/>
  <c r="AB28" i="9"/>
  <c r="AB20" i="7" s="1"/>
  <c r="AE43" i="6"/>
  <c r="AE51" i="5"/>
  <c r="AE12" i="6"/>
  <c r="AE14" i="9"/>
  <c r="AE24" i="9" s="1"/>
  <c r="AE24" i="7" s="1"/>
  <c r="AE41" i="5"/>
  <c r="AE15" i="6" s="1"/>
  <c r="AE10" i="6"/>
  <c r="AA12" i="8"/>
  <c r="AA53" i="9"/>
  <c r="AE13" i="9"/>
  <c r="AE18" i="9" s="1"/>
  <c r="AE17" i="6"/>
  <c r="AI38" i="4"/>
  <c r="AI49" i="9" s="1"/>
  <c r="AI42" i="4"/>
  <c r="AI37" i="4"/>
  <c r="AI32" i="6" s="1"/>
  <c r="AI29" i="4"/>
  <c r="AI32" i="5" s="1"/>
  <c r="AI43" i="4"/>
  <c r="AI46" i="9" s="1"/>
  <c r="AI17" i="8" s="1"/>
  <c r="AI40" i="4"/>
  <c r="AI51" i="4"/>
  <c r="AI25" i="9" s="1"/>
  <c r="AI35" i="4"/>
  <c r="AI53" i="6" s="1"/>
  <c r="AI31" i="4"/>
  <c r="AI52" i="5" s="1"/>
  <c r="AI28" i="4"/>
  <c r="AI41" i="4"/>
  <c r="AI44" i="4"/>
  <c r="AI21" i="8" s="1"/>
  <c r="AI34" i="4"/>
  <c r="AI49" i="4"/>
  <c r="AI19" i="9" s="1"/>
  <c r="AI39" i="4"/>
  <c r="AI36" i="4"/>
  <c r="AI26" i="6" s="1"/>
  <c r="AI48" i="4"/>
  <c r="AI23" i="9" s="1"/>
  <c r="AI47" i="4"/>
  <c r="AI21" i="9" s="1"/>
  <c r="AI33" i="4"/>
  <c r="AI60" i="5" s="1"/>
  <c r="AI50" i="4"/>
  <c r="AI27" i="9" s="1"/>
  <c r="AI45" i="4"/>
  <c r="AI15" i="9" s="1"/>
  <c r="AI46" i="4"/>
  <c r="AI17" i="9" s="1"/>
  <c r="AI30" i="4"/>
  <c r="AI49" i="5" s="1"/>
  <c r="AI32" i="4"/>
  <c r="AI55" i="5" s="1"/>
  <c r="AI11" i="4"/>
  <c r="AH41" i="9"/>
  <c r="AH18" i="6"/>
  <c r="AA62" i="5"/>
  <c r="AA57" i="6"/>
  <c r="V70" i="2"/>
  <c r="AA44" i="6"/>
  <c r="AG40" i="9"/>
  <c r="AG42" i="9" s="1"/>
  <c r="AF18" i="7"/>
  <c r="AH20" i="4"/>
  <c r="AH16" i="5" s="1"/>
  <c r="AH15" i="5" s="1"/>
  <c r="AH25" i="4"/>
  <c r="AH18" i="4"/>
  <c r="AH22" i="4"/>
  <c r="AH26" i="5" s="1"/>
  <c r="AH24" i="5" s="1"/>
  <c r="AH25" i="5" s="1"/>
  <c r="AH19" i="4"/>
  <c r="AH24" i="4"/>
  <c r="AH40" i="5" s="1"/>
  <c r="AH26" i="4"/>
  <c r="AH41" i="6" s="1"/>
  <c r="AH27" i="4"/>
  <c r="AH42" i="6" s="1"/>
  <c r="AH21" i="4"/>
  <c r="AH20" i="5" s="1"/>
  <c r="AH19" i="5" s="1"/>
  <c r="AH17" i="4"/>
  <c r="AH11" i="5" s="1"/>
  <c r="AH23" i="4"/>
  <c r="AH30" i="5" s="1"/>
  <c r="AH28" i="5" s="1"/>
  <c r="AH29" i="5" s="1"/>
  <c r="Y36" i="9"/>
  <c r="Y37" i="9" s="1"/>
  <c r="AG34" i="5" l="1"/>
  <c r="AG51" i="5" s="1"/>
  <c r="AB44" i="6"/>
  <c r="AB57" i="6"/>
  <c r="W70" i="2"/>
  <c r="AC59" i="5"/>
  <c r="AC51" i="6"/>
  <c r="AC53" i="9" s="1"/>
  <c r="AC63" i="5"/>
  <c r="AC26" i="7"/>
  <c r="AC28" i="7" s="1"/>
  <c r="AH33" i="5"/>
  <c r="AH34" i="5" s="1"/>
  <c r="AH40" i="6"/>
  <c r="AD42" i="5"/>
  <c r="AG27" i="5"/>
  <c r="AG43" i="5"/>
  <c r="AG17" i="6"/>
  <c r="AG13" i="9"/>
  <c r="AG18" i="9" s="1"/>
  <c r="AG31" i="9" s="1"/>
  <c r="AK5" i="8"/>
  <c r="AK5" i="7"/>
  <c r="AK5" i="9"/>
  <c r="AK5" i="5"/>
  <c r="AK10" i="4"/>
  <c r="AK5" i="6"/>
  <c r="AF53" i="5"/>
  <c r="AF54" i="5"/>
  <c r="AK6" i="8"/>
  <c r="AK6" i="7"/>
  <c r="AK6" i="9"/>
  <c r="AK6" i="6"/>
  <c r="AK6" i="5"/>
  <c r="AH11" i="7"/>
  <c r="AI45" i="9"/>
  <c r="AI47" i="9" s="1"/>
  <c r="AE44" i="5"/>
  <c r="AE16" i="6"/>
  <c r="AE19" i="6" s="1"/>
  <c r="AE12" i="9" s="1"/>
  <c r="AI20" i="8"/>
  <c r="AI22" i="8" s="1"/>
  <c r="AI54" i="9"/>
  <c r="AF31" i="9"/>
  <c r="AE13" i="7"/>
  <c r="AE31" i="9"/>
  <c r="AJ45" i="4"/>
  <c r="AJ15" i="9" s="1"/>
  <c r="AJ29" i="4"/>
  <c r="AJ32" i="5" s="1"/>
  <c r="AJ42" i="4"/>
  <c r="AJ37" i="4"/>
  <c r="AJ32" i="6" s="1"/>
  <c r="AJ49" i="4"/>
  <c r="AJ19" i="9" s="1"/>
  <c r="AJ43" i="4"/>
  <c r="AJ46" i="9" s="1"/>
  <c r="AJ17" i="8" s="1"/>
  <c r="AJ40" i="4"/>
  <c r="AJ35" i="4"/>
  <c r="AJ53" i="6" s="1"/>
  <c r="AJ38" i="4"/>
  <c r="AJ49" i="9" s="1"/>
  <c r="AJ41" i="4"/>
  <c r="AJ44" i="4"/>
  <c r="AJ21" i="8" s="1"/>
  <c r="AJ31" i="4"/>
  <c r="AJ52" i="5" s="1"/>
  <c r="AJ28" i="4"/>
  <c r="AJ39" i="4"/>
  <c r="AJ36" i="4"/>
  <c r="AJ26" i="6" s="1"/>
  <c r="AJ47" i="4"/>
  <c r="AJ21" i="9" s="1"/>
  <c r="AJ48" i="4"/>
  <c r="AJ23" i="9" s="1"/>
  <c r="AJ33" i="4"/>
  <c r="AJ60" i="5" s="1"/>
  <c r="AJ46" i="4"/>
  <c r="AJ17" i="9" s="1"/>
  <c r="AJ51" i="4"/>
  <c r="AJ25" i="9" s="1"/>
  <c r="AJ30" i="4"/>
  <c r="AJ49" i="5" s="1"/>
  <c r="AJ32" i="4"/>
  <c r="AJ55" i="5" s="1"/>
  <c r="AJ34" i="4"/>
  <c r="AJ50" i="4"/>
  <c r="AJ27" i="9" s="1"/>
  <c r="AJ11" i="4"/>
  <c r="AK7" i="8"/>
  <c r="AK7" i="9"/>
  <c r="AK7" i="7"/>
  <c r="AK7" i="6"/>
  <c r="AK7" i="5"/>
  <c r="AK14" i="4"/>
  <c r="AK4" i="4"/>
  <c r="X52" i="6"/>
  <c r="X54" i="6" s="1"/>
  <c r="X33" i="6"/>
  <c r="X30" i="6"/>
  <c r="AI22" i="4"/>
  <c r="AI26" i="5" s="1"/>
  <c r="AI24" i="5" s="1"/>
  <c r="AI25" i="5" s="1"/>
  <c r="AI25" i="4"/>
  <c r="AI20" i="4"/>
  <c r="AI16" i="5" s="1"/>
  <c r="AI15" i="5" s="1"/>
  <c r="AI26" i="4"/>
  <c r="AI41" i="6" s="1"/>
  <c r="AI24" i="4"/>
  <c r="AI40" i="5" s="1"/>
  <c r="AI17" i="4"/>
  <c r="AI11" i="5" s="1"/>
  <c r="AI21" i="4"/>
  <c r="AI20" i="5" s="1"/>
  <c r="AI19" i="5" s="1"/>
  <c r="AI27" i="4"/>
  <c r="AI42" i="6" s="1"/>
  <c r="AI19" i="4"/>
  <c r="AI18" i="4"/>
  <c r="AI23" i="4"/>
  <c r="AI30" i="5" s="1"/>
  <c r="AI28" i="5" s="1"/>
  <c r="AI29" i="5" s="1"/>
  <c r="AE42" i="5"/>
  <c r="AH10" i="5"/>
  <c r="AG13" i="5"/>
  <c r="AJ4" i="9"/>
  <c r="AJ4" i="8"/>
  <c r="AJ4" i="6"/>
  <c r="AJ4" i="7"/>
  <c r="AJ4" i="5"/>
  <c r="AE69" i="2"/>
  <c r="AF17" i="5"/>
  <c r="AF39" i="6"/>
  <c r="AF38" i="6" s="1"/>
  <c r="AF23" i="5"/>
  <c r="AI41" i="9"/>
  <c r="AI18" i="6"/>
  <c r="AG17" i="5"/>
  <c r="AG39" i="6"/>
  <c r="AG38" i="6" s="1"/>
  <c r="AC21" i="6"/>
  <c r="AC35" i="9"/>
  <c r="AC16" i="8" s="1"/>
  <c r="AC18" i="8" s="1"/>
  <c r="AC16" i="9"/>
  <c r="AC20" i="9"/>
  <c r="AC15" i="7" s="1"/>
  <c r="AC28" i="9"/>
  <c r="AC20" i="7" s="1"/>
  <c r="AC57" i="6"/>
  <c r="AC62" i="5"/>
  <c r="X70" i="2"/>
  <c r="AC44" i="6"/>
  <c r="AE53" i="5"/>
  <c r="AE54" i="5"/>
  <c r="AD16" i="6"/>
  <c r="AD19" i="6" s="1"/>
  <c r="AD12" i="9" s="1"/>
  <c r="AD44" i="5"/>
  <c r="AD45" i="5"/>
  <c r="AD46" i="5" s="1"/>
  <c r="AD11" i="6"/>
  <c r="AD13" i="6" s="1"/>
  <c r="AD36" i="5"/>
  <c r="AD37" i="5" s="1"/>
  <c r="AF13" i="7"/>
  <c r="AA32" i="9"/>
  <c r="AA13" i="8" s="1"/>
  <c r="Z32" i="9"/>
  <c r="Z13" i="8" s="1"/>
  <c r="AE11" i="6"/>
  <c r="AE13" i="6" s="1"/>
  <c r="AE45" i="5"/>
  <c r="AE46" i="5" s="1"/>
  <c r="AE38" i="5"/>
  <c r="AG18" i="7"/>
  <c r="AH40" i="9"/>
  <c r="AH42" i="9" s="1"/>
  <c r="Z34" i="9"/>
  <c r="Y17" i="7"/>
  <c r="AB29" i="9"/>
  <c r="AB30" i="9" s="1"/>
  <c r="AB32" i="9" s="1"/>
  <c r="AB13" i="8" s="1"/>
  <c r="AB12" i="7"/>
  <c r="Y43" i="9"/>
  <c r="Y50" i="6" s="1"/>
  <c r="Y39" i="9"/>
  <c r="AC12" i="8" l="1"/>
  <c r="AG12" i="6"/>
  <c r="M25" i="10" s="1"/>
  <c r="H12" i="12" s="1"/>
  <c r="AH50" i="5"/>
  <c r="AH13" i="9" s="1"/>
  <c r="AH18" i="9" s="1"/>
  <c r="AH31" i="9" s="1"/>
  <c r="AD56" i="5"/>
  <c r="AD58" i="5"/>
  <c r="AD51" i="6" s="1"/>
  <c r="H85" i="10"/>
  <c r="H8" i="10"/>
  <c r="D5" i="2" s="1"/>
  <c r="AI40" i="6"/>
  <c r="AI33" i="5"/>
  <c r="AI34" i="5" s="1"/>
  <c r="AE22" i="9"/>
  <c r="AE23" i="7" s="1"/>
  <c r="AE26" i="9"/>
  <c r="AE25" i="7" s="1"/>
  <c r="AK4" i="8"/>
  <c r="AK4" i="9"/>
  <c r="AK4" i="6"/>
  <c r="AK4" i="7"/>
  <c r="AF69" i="2"/>
  <c r="AK4" i="5"/>
  <c r="AF43" i="5"/>
  <c r="M31" i="10" s="1"/>
  <c r="AF27" i="5"/>
  <c r="AF36" i="5" s="1"/>
  <c r="AF37" i="5" s="1"/>
  <c r="AF43" i="6"/>
  <c r="AF14" i="9"/>
  <c r="AF24" i="9" s="1"/>
  <c r="AF24" i="7" s="1"/>
  <c r="AF41" i="5"/>
  <c r="AF15" i="6" s="1"/>
  <c r="AF10" i="6"/>
  <c r="AG14" i="9"/>
  <c r="AG24" i="9" s="1"/>
  <c r="AG24" i="7" s="1"/>
  <c r="AG41" i="5"/>
  <c r="AG15" i="6" s="1"/>
  <c r="AG10" i="6"/>
  <c r="AG36" i="5"/>
  <c r="AG37" i="5" s="1"/>
  <c r="AD20" i="6"/>
  <c r="AD11" i="9"/>
  <c r="H41" i="13"/>
  <c r="E99" i="14"/>
  <c r="H9" i="13"/>
  <c r="X55" i="6"/>
  <c r="X56" i="6"/>
  <c r="X58" i="6"/>
  <c r="S71" i="2"/>
  <c r="J64" i="10"/>
  <c r="J69" i="10"/>
  <c r="J76" i="10" s="1"/>
  <c r="I64" i="10"/>
  <c r="I65" i="10"/>
  <c r="I78" i="10" s="1"/>
  <c r="I68" i="10"/>
  <c r="J68" i="10"/>
  <c r="J65" i="10"/>
  <c r="J78" i="10" s="1"/>
  <c r="I69" i="10"/>
  <c r="I76" i="10" s="1"/>
  <c r="L65" i="10"/>
  <c r="L78" i="10" s="1"/>
  <c r="K68" i="10"/>
  <c r="K65" i="10"/>
  <c r="K78" i="10" s="1"/>
  <c r="L68" i="10"/>
  <c r="K69" i="10"/>
  <c r="K76" i="10" s="1"/>
  <c r="M68" i="10"/>
  <c r="G69" i="10"/>
  <c r="G76" i="10" s="1"/>
  <c r="G64" i="10"/>
  <c r="AI11" i="7"/>
  <c r="AJ45" i="9"/>
  <c r="AJ47" i="9" s="1"/>
  <c r="AJ41" i="9"/>
  <c r="AJ18" i="6"/>
  <c r="AG43" i="6"/>
  <c r="AJ25" i="4"/>
  <c r="AJ20" i="4"/>
  <c r="AJ16" i="5" s="1"/>
  <c r="AJ15" i="5" s="1"/>
  <c r="AJ18" i="4"/>
  <c r="AJ26" i="4"/>
  <c r="AJ41" i="6" s="1"/>
  <c r="AJ19" i="4"/>
  <c r="AJ24" i="4"/>
  <c r="AJ40" i="5" s="1"/>
  <c r="AJ17" i="4"/>
  <c r="AJ11" i="5" s="1"/>
  <c r="AJ22" i="4"/>
  <c r="AJ26" i="5" s="1"/>
  <c r="AJ24" i="5" s="1"/>
  <c r="AJ25" i="5" s="1"/>
  <c r="AJ21" i="4"/>
  <c r="AJ20" i="5" s="1"/>
  <c r="AJ19" i="5" s="1"/>
  <c r="AJ27" i="4"/>
  <c r="AJ42" i="6" s="1"/>
  <c r="AJ23" i="4"/>
  <c r="AJ30" i="5" s="1"/>
  <c r="AJ28" i="5" s="1"/>
  <c r="AJ29" i="5" s="1"/>
  <c r="AE20" i="6"/>
  <c r="AE11" i="9"/>
  <c r="H77" i="10"/>
  <c r="J77" i="10"/>
  <c r="I77" i="10"/>
  <c r="K77" i="10"/>
  <c r="L77" i="10"/>
  <c r="M77" i="10"/>
  <c r="AI10" i="5"/>
  <c r="AH13" i="5"/>
  <c r="AD38" i="5"/>
  <c r="AG53" i="5"/>
  <c r="M52" i="10" s="1"/>
  <c r="AG54" i="5"/>
  <c r="AH12" i="5"/>
  <c r="AK47" i="4"/>
  <c r="AK21" i="9" s="1"/>
  <c r="AK31" i="4"/>
  <c r="AK52" i="5" s="1"/>
  <c r="AK37" i="4"/>
  <c r="AK32" i="6" s="1"/>
  <c r="N59" i="10" s="1"/>
  <c r="N74" i="10" s="1"/>
  <c r="AK49" i="4"/>
  <c r="AK19" i="9" s="1"/>
  <c r="AK32" i="4"/>
  <c r="AK55" i="5" s="1"/>
  <c r="AK43" i="4"/>
  <c r="AK46" i="9" s="1"/>
  <c r="AK17" i="8" s="1"/>
  <c r="AK29" i="4"/>
  <c r="AK32" i="5" s="1"/>
  <c r="AK51" i="4"/>
  <c r="AK25" i="9" s="1"/>
  <c r="AK38" i="4"/>
  <c r="AK49" i="9" s="1"/>
  <c r="AK41" i="4"/>
  <c r="AK34" i="4"/>
  <c r="AK44" i="4"/>
  <c r="AK21" i="8" s="1"/>
  <c r="AK28" i="4"/>
  <c r="AK48" i="4"/>
  <c r="AK23" i="9" s="1"/>
  <c r="AK33" i="4"/>
  <c r="AK60" i="5" s="1"/>
  <c r="AK42" i="4"/>
  <c r="AK45" i="4"/>
  <c r="AK15" i="9" s="1"/>
  <c r="AK30" i="4"/>
  <c r="AK49" i="5" s="1"/>
  <c r="AK36" i="4"/>
  <c r="AK26" i="6" s="1"/>
  <c r="G42" i="10" s="1"/>
  <c r="AK35" i="4"/>
  <c r="AK53" i="6" s="1"/>
  <c r="N57" i="10" s="1"/>
  <c r="AK40" i="4"/>
  <c r="AK50" i="4"/>
  <c r="AK27" i="9" s="1"/>
  <c r="AK39" i="4"/>
  <c r="AK46" i="4"/>
  <c r="AK17" i="9" s="1"/>
  <c r="AK11" i="4"/>
  <c r="AD22" i="9"/>
  <c r="AD23" i="7" s="1"/>
  <c r="AD26" i="9"/>
  <c r="AD25" i="7" s="1"/>
  <c r="H28" i="10"/>
  <c r="H9" i="10"/>
  <c r="G10" i="10"/>
  <c r="H31" i="10"/>
  <c r="G8" i="10"/>
  <c r="H37" i="10"/>
  <c r="I9" i="10"/>
  <c r="I10" i="10"/>
  <c r="F6" i="11" s="1"/>
  <c r="F23" i="11" s="1"/>
  <c r="J8" i="10"/>
  <c r="F5" i="2" s="1"/>
  <c r="F8" i="10"/>
  <c r="I37" i="10"/>
  <c r="H10" i="10"/>
  <c r="E6" i="11" s="1"/>
  <c r="E23" i="11" s="1"/>
  <c r="I31" i="10"/>
  <c r="I8" i="10"/>
  <c r="E5" i="2" s="1"/>
  <c r="I28" i="10"/>
  <c r="J11" i="10"/>
  <c r="G11" i="10"/>
  <c r="G28" i="10"/>
  <c r="I52" i="10"/>
  <c r="I29" i="10"/>
  <c r="J10" i="10"/>
  <c r="J9" i="10"/>
  <c r="J37" i="10"/>
  <c r="G29" i="10"/>
  <c r="K28" i="10"/>
  <c r="I11" i="10"/>
  <c r="J30" i="10"/>
  <c r="F78" i="2" s="1"/>
  <c r="J52" i="10"/>
  <c r="J29" i="10"/>
  <c r="K37" i="10"/>
  <c r="I30" i="10"/>
  <c r="E78" i="2" s="1"/>
  <c r="K8" i="10"/>
  <c r="G5" i="2" s="1"/>
  <c r="J28" i="10"/>
  <c r="K11" i="10"/>
  <c r="L37" i="10"/>
  <c r="K52" i="10"/>
  <c r="G30" i="10"/>
  <c r="L11" i="10"/>
  <c r="K31" i="10"/>
  <c r="K29" i="10"/>
  <c r="M30" i="10"/>
  <c r="I78" i="2" s="1"/>
  <c r="M11" i="10"/>
  <c r="M10" i="10"/>
  <c r="K9" i="10"/>
  <c r="K10" i="10"/>
  <c r="K30" i="10"/>
  <c r="G78" i="2" s="1"/>
  <c r="L8" i="10"/>
  <c r="H5" i="2" s="1"/>
  <c r="J31" i="10"/>
  <c r="L9" i="10"/>
  <c r="L28" i="10"/>
  <c r="L29" i="10"/>
  <c r="L10" i="10"/>
  <c r="L30" i="10"/>
  <c r="H78" i="2" s="1"/>
  <c r="M9" i="10"/>
  <c r="L31" i="10"/>
  <c r="M8" i="10"/>
  <c r="I5" i="2" s="1"/>
  <c r="L52" i="10"/>
  <c r="Y11" i="8"/>
  <c r="Y45" i="6"/>
  <c r="AC29" i="9"/>
  <c r="AC30" i="9" s="1"/>
  <c r="AC12" i="7"/>
  <c r="AJ20" i="8"/>
  <c r="AJ22" i="8" s="1"/>
  <c r="AJ54" i="9"/>
  <c r="AG13" i="7"/>
  <c r="X34" i="6"/>
  <c r="X35" i="6" s="1"/>
  <c r="H60" i="10"/>
  <c r="H75" i="10" s="1"/>
  <c r="H42" i="10"/>
  <c r="H53" i="10"/>
  <c r="H92" i="10" s="1"/>
  <c r="H35" i="10"/>
  <c r="H48" i="10"/>
  <c r="H24" i="10"/>
  <c r="H50" i="10"/>
  <c r="I55" i="10"/>
  <c r="I35" i="10"/>
  <c r="H54" i="10"/>
  <c r="I58" i="10"/>
  <c r="I73" i="10" s="1"/>
  <c r="I39" i="10"/>
  <c r="I59" i="10"/>
  <c r="I74" i="10" s="1"/>
  <c r="I48" i="10"/>
  <c r="I23" i="10"/>
  <c r="I61" i="10"/>
  <c r="I50" i="10"/>
  <c r="I25" i="10"/>
  <c r="I47" i="10"/>
  <c r="G46" i="10"/>
  <c r="I45" i="10"/>
  <c r="I60" i="10"/>
  <c r="I75" i="10" s="1"/>
  <c r="I26" i="10"/>
  <c r="I46" i="10"/>
  <c r="I34" i="10"/>
  <c r="I49" i="10"/>
  <c r="G39" i="10"/>
  <c r="I53" i="10"/>
  <c r="I92" i="10" s="1"/>
  <c r="I56" i="10"/>
  <c r="J23" i="10"/>
  <c r="J53" i="10"/>
  <c r="J92" i="10" s="1"/>
  <c r="I41" i="10"/>
  <c r="J49" i="10"/>
  <c r="K59" i="10"/>
  <c r="K74" i="10" s="1"/>
  <c r="J50" i="10"/>
  <c r="I40" i="10"/>
  <c r="K47" i="10"/>
  <c r="K55" i="10"/>
  <c r="I57" i="10"/>
  <c r="J48" i="10"/>
  <c r="J59" i="10"/>
  <c r="J74" i="10" s="1"/>
  <c r="J54" i="10"/>
  <c r="I42" i="10"/>
  <c r="I72" i="10" s="1"/>
  <c r="J61" i="10"/>
  <c r="J34" i="10"/>
  <c r="J39" i="10"/>
  <c r="J58" i="10"/>
  <c r="J73" i="10" s="1"/>
  <c r="J42" i="10"/>
  <c r="I24" i="10"/>
  <c r="G43" i="10"/>
  <c r="J25" i="10"/>
  <c r="E12" i="12" s="1"/>
  <c r="G26" i="10"/>
  <c r="J26" i="10"/>
  <c r="J35" i="10"/>
  <c r="I54" i="10"/>
  <c r="I43" i="10"/>
  <c r="L35" i="10"/>
  <c r="K45" i="10"/>
  <c r="J24" i="10"/>
  <c r="K25" i="10"/>
  <c r="F12" i="12" s="1"/>
  <c r="J47" i="10"/>
  <c r="K23" i="10"/>
  <c r="J43" i="10"/>
  <c r="J46" i="10"/>
  <c r="K24" i="10"/>
  <c r="J57" i="10"/>
  <c r="J45" i="10"/>
  <c r="L24" i="10"/>
  <c r="K34" i="10"/>
  <c r="K35" i="10"/>
  <c r="J56" i="10"/>
  <c r="J41" i="10"/>
  <c r="J40" i="10"/>
  <c r="K26" i="10"/>
  <c r="K56" i="10"/>
  <c r="K50" i="10"/>
  <c r="J55" i="10"/>
  <c r="J60" i="10"/>
  <c r="J75" i="10" s="1"/>
  <c r="G53" i="10"/>
  <c r="G92" i="10" s="1"/>
  <c r="K42" i="10"/>
  <c r="M45" i="10"/>
  <c r="L46" i="10"/>
  <c r="K46" i="10"/>
  <c r="L57" i="10"/>
  <c r="L48" i="10"/>
  <c r="M34" i="10"/>
  <c r="G35" i="10"/>
  <c r="K48" i="10"/>
  <c r="L42" i="10"/>
  <c r="L34" i="10"/>
  <c r="K49" i="10"/>
  <c r="L26" i="10"/>
  <c r="K57" i="10"/>
  <c r="L55" i="10"/>
  <c r="L47" i="10"/>
  <c r="L45" i="10"/>
  <c r="L25" i="10"/>
  <c r="G12" i="12" s="1"/>
  <c r="L49" i="10"/>
  <c r="M48" i="10"/>
  <c r="G54" i="10"/>
  <c r="G93" i="10" s="1"/>
  <c r="L23" i="10"/>
  <c r="L59" i="10"/>
  <c r="L74" i="10" s="1"/>
  <c r="L50" i="10"/>
  <c r="M49" i="10"/>
  <c r="M47" i="10"/>
  <c r="M42" i="10"/>
  <c r="M46" i="10"/>
  <c r="M59" i="10"/>
  <c r="M74" i="10" s="1"/>
  <c r="M57" i="10"/>
  <c r="G61" i="10"/>
  <c r="G71" i="10" s="1"/>
  <c r="G88" i="10"/>
  <c r="H88" i="10"/>
  <c r="H83" i="10"/>
  <c r="H82" i="10"/>
  <c r="I82" i="10"/>
  <c r="I88" i="10"/>
  <c r="F85" i="10"/>
  <c r="F88" i="10"/>
  <c r="G82" i="10"/>
  <c r="H86" i="10"/>
  <c r="F83" i="10"/>
  <c r="I85" i="10"/>
  <c r="I83" i="10"/>
  <c r="I86" i="10"/>
  <c r="J86" i="10"/>
  <c r="F82" i="10"/>
  <c r="J88" i="10"/>
  <c r="F86" i="10"/>
  <c r="J85" i="10"/>
  <c r="J82" i="10"/>
  <c r="L86" i="10"/>
  <c r="K83" i="10"/>
  <c r="J83" i="10"/>
  <c r="L83" i="10"/>
  <c r="K86" i="10"/>
  <c r="M83" i="10"/>
  <c r="AI50" i="5"/>
  <c r="AG44" i="5"/>
  <c r="AG16" i="6"/>
  <c r="AE58" i="5"/>
  <c r="AE56" i="5"/>
  <c r="AH12" i="6"/>
  <c r="AH51" i="5"/>
  <c r="Z36" i="9"/>
  <c r="Z37" i="9" s="1"/>
  <c r="AI40" i="9"/>
  <c r="AI42" i="9" s="1"/>
  <c r="AH18" i="7"/>
  <c r="AG11" i="6"/>
  <c r="AG45" i="5"/>
  <c r="AG46" i="5" s="1"/>
  <c r="AH17" i="6" l="1"/>
  <c r="I15" i="10"/>
  <c r="F84" i="10"/>
  <c r="H84" i="10"/>
  <c r="D16" i="2" s="1"/>
  <c r="J51" i="10"/>
  <c r="F11" i="2" s="1"/>
  <c r="F21" i="12"/>
  <c r="AD63" i="5"/>
  <c r="AD59" i="5"/>
  <c r="AD61" i="5"/>
  <c r="AD62" i="5" s="1"/>
  <c r="H89" i="10"/>
  <c r="AJ33" i="5"/>
  <c r="AJ34" i="5" s="1"/>
  <c r="N42" i="10"/>
  <c r="K72" i="10"/>
  <c r="G13" i="10"/>
  <c r="AJ40" i="6"/>
  <c r="M72" i="10"/>
  <c r="M23" i="10"/>
  <c r="M12" i="10" s="1"/>
  <c r="H7" i="12" s="1"/>
  <c r="AF42" i="5"/>
  <c r="L51" i="10"/>
  <c r="H11" i="2" s="1"/>
  <c r="H51" i="10"/>
  <c r="D11" i="2" s="1"/>
  <c r="AG42" i="5"/>
  <c r="AG56" i="5" s="1"/>
  <c r="J15" i="10"/>
  <c r="J89" i="10"/>
  <c r="M15" i="10"/>
  <c r="AG38" i="5"/>
  <c r="K15" i="10"/>
  <c r="L15" i="10"/>
  <c r="I51" i="10"/>
  <c r="E11" i="2" s="1"/>
  <c r="F16" i="11"/>
  <c r="AA34" i="9"/>
  <c r="Z17" i="7"/>
  <c r="H13" i="15"/>
  <c r="G13" i="12"/>
  <c r="H15" i="12" s="1"/>
  <c r="L27" i="10"/>
  <c r="H8" i="2"/>
  <c r="H93" i="10"/>
  <c r="D14" i="2"/>
  <c r="J33" i="10"/>
  <c r="J16" i="10"/>
  <c r="F77" i="2"/>
  <c r="AD21" i="6"/>
  <c r="G22" i="11"/>
  <c r="K32" i="10"/>
  <c r="K36" i="10"/>
  <c r="G76" i="2"/>
  <c r="G94" i="10"/>
  <c r="AD26" i="7"/>
  <c r="AD28" i="7" s="1"/>
  <c r="AK20" i="4"/>
  <c r="AK16" i="5" s="1"/>
  <c r="AK15" i="5" s="1"/>
  <c r="AK18" i="4"/>
  <c r="AK25" i="4"/>
  <c r="AK23" i="4"/>
  <c r="AK30" i="5" s="1"/>
  <c r="AK28" i="5" s="1"/>
  <c r="AK29" i="5" s="1"/>
  <c r="AK24" i="4"/>
  <c r="AK40" i="5" s="1"/>
  <c r="AK19" i="4"/>
  <c r="AK17" i="4"/>
  <c r="AK11" i="5" s="1"/>
  <c r="AK26" i="4"/>
  <c r="AK41" i="6" s="1"/>
  <c r="AK22" i="4"/>
  <c r="AK26" i="5" s="1"/>
  <c r="AK24" i="5" s="1"/>
  <c r="AK25" i="5" s="1"/>
  <c r="AK27" i="4"/>
  <c r="AK42" i="6" s="1"/>
  <c r="AK21" i="4"/>
  <c r="AK20" i="5" s="1"/>
  <c r="AK19" i="5" s="1"/>
  <c r="AD35" i="9"/>
  <c r="AD16" i="8" s="1"/>
  <c r="AD20" i="9"/>
  <c r="AD15" i="7" s="1"/>
  <c r="AD16" i="9"/>
  <c r="AD28" i="9"/>
  <c r="AD20" i="7" s="1"/>
  <c r="I13" i="10"/>
  <c r="E7" i="2"/>
  <c r="G16" i="10"/>
  <c r="AJ10" i="5"/>
  <c r="AJ12" i="5" s="1"/>
  <c r="AJ23" i="5" s="1"/>
  <c r="AI13" i="5"/>
  <c r="AG13" i="6"/>
  <c r="J93" i="10"/>
  <c r="F14" i="2"/>
  <c r="AK45" i="9"/>
  <c r="AK47" i="9" s="1"/>
  <c r="AK11" i="7" s="1"/>
  <c r="AJ11" i="7"/>
  <c r="G57" i="10"/>
  <c r="H57" i="10"/>
  <c r="H72" i="10" s="1"/>
  <c r="K14" i="10"/>
  <c r="F9" i="12" s="1"/>
  <c r="F11" i="12"/>
  <c r="J10" i="11"/>
  <c r="J11" i="11" s="1"/>
  <c r="I6" i="2"/>
  <c r="G48" i="13"/>
  <c r="H48" i="13" s="1"/>
  <c r="J38" i="10"/>
  <c r="F10" i="2" s="1"/>
  <c r="F9" i="2"/>
  <c r="G72" i="10"/>
  <c r="AI12" i="5"/>
  <c r="AG19" i="6"/>
  <c r="AG12" i="9" s="1"/>
  <c r="H6" i="13"/>
  <c r="F13" i="15"/>
  <c r="K38" i="10"/>
  <c r="G10" i="2" s="1"/>
  <c r="G9" i="2"/>
  <c r="I9" i="13"/>
  <c r="J9" i="13"/>
  <c r="AH17" i="5"/>
  <c r="AH39" i="6"/>
  <c r="AH23" i="5"/>
  <c r="N72" i="10"/>
  <c r="J41" i="13"/>
  <c r="I41" i="13"/>
  <c r="L14" i="10"/>
  <c r="G9" i="12" s="1"/>
  <c r="G11" i="12"/>
  <c r="L72" i="10"/>
  <c r="J84" i="10"/>
  <c r="F16" i="2" s="1"/>
  <c r="G10" i="11"/>
  <c r="G24" i="11" s="1"/>
  <c r="F6" i="2"/>
  <c r="D76" i="2"/>
  <c r="I6" i="11"/>
  <c r="I7" i="11" s="1"/>
  <c r="G6" i="12"/>
  <c r="I10" i="11"/>
  <c r="I12" i="11" s="1"/>
  <c r="H6" i="2"/>
  <c r="AE21" i="6"/>
  <c r="AK54" i="9"/>
  <c r="AK20" i="8"/>
  <c r="AE59" i="5"/>
  <c r="AE63" i="5"/>
  <c r="AE51" i="6"/>
  <c r="AE61" i="5"/>
  <c r="AD53" i="9"/>
  <c r="AD12" i="8"/>
  <c r="L16" i="10"/>
  <c r="L33" i="10"/>
  <c r="H77" i="2"/>
  <c r="AE28" i="9"/>
  <c r="AE20" i="7" s="1"/>
  <c r="AE35" i="9"/>
  <c r="AE16" i="8" s="1"/>
  <c r="AE18" i="8" s="1"/>
  <c r="AE20" i="9"/>
  <c r="AE15" i="7" s="1"/>
  <c r="AE16" i="9"/>
  <c r="F6" i="12"/>
  <c r="H6" i="11"/>
  <c r="H16" i="11" s="1"/>
  <c r="I93" i="10"/>
  <c r="E14" i="2"/>
  <c r="I91" i="10"/>
  <c r="E8" i="2"/>
  <c r="H10" i="11"/>
  <c r="H11" i="11" s="1"/>
  <c r="G6" i="2"/>
  <c r="AF45" i="5"/>
  <c r="AF11" i="6"/>
  <c r="M24" i="10" s="1"/>
  <c r="AF38" i="5"/>
  <c r="J32" i="10"/>
  <c r="F76" i="2"/>
  <c r="J36" i="10"/>
  <c r="J44" i="10" s="1"/>
  <c r="J13" i="10"/>
  <c r="J20" i="10"/>
  <c r="F7" i="2"/>
  <c r="I36" i="10"/>
  <c r="I44" i="10" s="1"/>
  <c r="I32" i="10"/>
  <c r="E76" i="2"/>
  <c r="I89" i="10"/>
  <c r="AI17" i="6"/>
  <c r="AI13" i="9"/>
  <c r="AI18" i="9" s="1"/>
  <c r="AI31" i="9" s="1"/>
  <c r="AI12" i="6"/>
  <c r="AI51" i="5"/>
  <c r="M50" i="10"/>
  <c r="Y25" i="6"/>
  <c r="K41" i="10" s="1"/>
  <c r="Y24" i="6"/>
  <c r="K40" i="10" s="1"/>
  <c r="Y23" i="6"/>
  <c r="H6" i="12"/>
  <c r="J6" i="11"/>
  <c r="J16" i="11" s="1"/>
  <c r="G46" i="13"/>
  <c r="H46" i="13" s="1"/>
  <c r="I38" i="10"/>
  <c r="E10" i="2" s="1"/>
  <c r="F7" i="11"/>
  <c r="E9" i="2"/>
  <c r="AF16" i="6"/>
  <c r="AF19" i="6" s="1"/>
  <c r="AF12" i="9" s="1"/>
  <c r="AF44" i="5"/>
  <c r="Z43" i="9"/>
  <c r="Z50" i="6" s="1"/>
  <c r="Z39" i="9"/>
  <c r="F10" i="12"/>
  <c r="K12" i="10"/>
  <c r="F7" i="12" s="1"/>
  <c r="AH53" i="5"/>
  <c r="AH54" i="5"/>
  <c r="E13" i="12"/>
  <c r="F15" i="12" s="1"/>
  <c r="J91" i="10"/>
  <c r="J27" i="10"/>
  <c r="F8" i="2"/>
  <c r="F22" i="11"/>
  <c r="M20" i="10"/>
  <c r="M13" i="10"/>
  <c r="I7" i="2"/>
  <c r="AK41" i="9"/>
  <c r="AK18" i="6"/>
  <c r="E10" i="12"/>
  <c r="J12" i="10"/>
  <c r="E7" i="12" s="1"/>
  <c r="G21" i="12"/>
  <c r="K16" i="10"/>
  <c r="K33" i="10"/>
  <c r="G77" i="2"/>
  <c r="L12" i="10"/>
  <c r="G7" i="12" s="1"/>
  <c r="G10" i="12"/>
  <c r="L32" i="10"/>
  <c r="L36" i="10"/>
  <c r="H76" i="2"/>
  <c r="F10" i="11"/>
  <c r="F24" i="11" s="1"/>
  <c r="E6" i="2"/>
  <c r="G59" i="10"/>
  <c r="G74" i="10" s="1"/>
  <c r="H59" i="10"/>
  <c r="H74" i="10" s="1"/>
  <c r="AJ40" i="9"/>
  <c r="AJ42" i="9" s="1"/>
  <c r="AI18" i="7"/>
  <c r="I33" i="10"/>
  <c r="I16" i="10"/>
  <c r="E77" i="2"/>
  <c r="G36" i="10"/>
  <c r="G44" i="10" s="1"/>
  <c r="E7" i="11"/>
  <c r="D9" i="2"/>
  <c r="I94" i="10"/>
  <c r="I66" i="10"/>
  <c r="X52" i="9"/>
  <c r="X56" i="9" s="1"/>
  <c r="X36" i="6"/>
  <c r="X10" i="8"/>
  <c r="X14" i="8" s="1"/>
  <c r="E6" i="12"/>
  <c r="G6" i="11"/>
  <c r="G23" i="11" s="1"/>
  <c r="E11" i="12"/>
  <c r="J14" i="10"/>
  <c r="E9" i="12" s="1"/>
  <c r="F89" i="10"/>
  <c r="I84" i="10"/>
  <c r="E16" i="2" s="1"/>
  <c r="H21" i="12"/>
  <c r="K51" i="10"/>
  <c r="G11" i="2" s="1"/>
  <c r="J72" i="10"/>
  <c r="G45" i="13"/>
  <c r="H45" i="13" s="1"/>
  <c r="H18" i="13"/>
  <c r="I62" i="10"/>
  <c r="H15" i="13"/>
  <c r="H17" i="13"/>
  <c r="I71" i="10"/>
  <c r="I79" i="10" s="1"/>
  <c r="H16" i="13"/>
  <c r="E12" i="2"/>
  <c r="F13" i="12"/>
  <c r="G15" i="12" s="1"/>
  <c r="K27" i="10"/>
  <c r="G8" i="2"/>
  <c r="I13" i="15"/>
  <c r="L38" i="10"/>
  <c r="H10" i="2" s="1"/>
  <c r="H9" i="2"/>
  <c r="AH13" i="7"/>
  <c r="J66" i="10"/>
  <c r="J94" i="10"/>
  <c r="G47" i="13"/>
  <c r="H47" i="13" s="1"/>
  <c r="H22" i="13"/>
  <c r="H19" i="13"/>
  <c r="J71" i="10"/>
  <c r="H21" i="13"/>
  <c r="J62" i="10"/>
  <c r="F12" i="2"/>
  <c r="H20" i="13"/>
  <c r="G27" i="10"/>
  <c r="G91" i="10"/>
  <c r="I14" i="10"/>
  <c r="L13" i="10"/>
  <c r="L20" i="10"/>
  <c r="H7" i="2"/>
  <c r="I12" i="10"/>
  <c r="K13" i="10"/>
  <c r="K20" i="10"/>
  <c r="G7" i="2"/>
  <c r="E10" i="11"/>
  <c r="E24" i="11" s="1"/>
  <c r="D6" i="2"/>
  <c r="AC32" i="9"/>
  <c r="AC13" i="8" s="1"/>
  <c r="L69" i="10" s="1"/>
  <c r="L76" i="10" s="1"/>
  <c r="AE26" i="7"/>
  <c r="AE28" i="7" s="1"/>
  <c r="I11" i="11" l="1"/>
  <c r="I13" i="11" s="1"/>
  <c r="I19" i="11" s="1"/>
  <c r="AJ50" i="5"/>
  <c r="AJ17" i="6" s="1"/>
  <c r="AD57" i="6"/>
  <c r="B22" i="2"/>
  <c r="AD44" i="6"/>
  <c r="Y70" i="2"/>
  <c r="H10" i="12"/>
  <c r="I14" i="11"/>
  <c r="AF58" i="5"/>
  <c r="AF61" i="5" s="1"/>
  <c r="J79" i="10"/>
  <c r="J80" i="10" s="1"/>
  <c r="K21" i="10"/>
  <c r="I16" i="11"/>
  <c r="M28" i="10"/>
  <c r="I76" i="2" s="1"/>
  <c r="AK40" i="6"/>
  <c r="N47" i="10" s="1"/>
  <c r="B19" i="2"/>
  <c r="AG58" i="5"/>
  <c r="AG51" i="6" s="1"/>
  <c r="B20" i="2"/>
  <c r="F15" i="11"/>
  <c r="F12" i="11"/>
  <c r="F11" i="11"/>
  <c r="F20" i="11" s="1"/>
  <c r="H7" i="11"/>
  <c r="H8" i="11" s="1"/>
  <c r="M21" i="10"/>
  <c r="F14" i="11"/>
  <c r="G11" i="11"/>
  <c r="G20" i="11" s="1"/>
  <c r="G15" i="11"/>
  <c r="J14" i="11"/>
  <c r="J12" i="11"/>
  <c r="J13" i="11" s="1"/>
  <c r="H12" i="11"/>
  <c r="H13" i="11" s="1"/>
  <c r="G7" i="11"/>
  <c r="G8" i="11" s="1"/>
  <c r="H14" i="11"/>
  <c r="H20" i="11"/>
  <c r="AF56" i="5"/>
  <c r="J6" i="13"/>
  <c r="I6" i="13"/>
  <c r="AG11" i="9"/>
  <c r="AG20" i="6"/>
  <c r="AF22" i="9"/>
  <c r="AF23" i="7" s="1"/>
  <c r="AF26" i="9"/>
  <c r="AF25" i="7" s="1"/>
  <c r="Z11" i="8"/>
  <c r="Z45" i="6"/>
  <c r="F8" i="11"/>
  <c r="G14" i="11"/>
  <c r="I8" i="11"/>
  <c r="AK10" i="5"/>
  <c r="AK12" i="5" s="1"/>
  <c r="AK23" i="5" s="1"/>
  <c r="AJ13" i="5"/>
  <c r="AF46" i="5"/>
  <c r="M29" i="10"/>
  <c r="G16" i="12"/>
  <c r="G17" i="12"/>
  <c r="AJ17" i="5"/>
  <c r="AJ39" i="6"/>
  <c r="AJ38" i="6" s="1"/>
  <c r="H11" i="12"/>
  <c r="M14" i="10"/>
  <c r="H9" i="12" s="1"/>
  <c r="J67" i="10"/>
  <c r="F15" i="2"/>
  <c r="AJ43" i="5"/>
  <c r="AJ27" i="5"/>
  <c r="X32" i="8"/>
  <c r="X25" i="8"/>
  <c r="X27" i="8" s="1"/>
  <c r="AG26" i="9"/>
  <c r="AG25" i="7" s="1"/>
  <c r="AG22" i="9"/>
  <c r="AG23" i="7" s="1"/>
  <c r="Y27" i="6"/>
  <c r="K39" i="10"/>
  <c r="H15" i="11" s="1"/>
  <c r="G16" i="11"/>
  <c r="AD18" i="8"/>
  <c r="AI17" i="5"/>
  <c r="AI39" i="6"/>
  <c r="AI38" i="6" s="1"/>
  <c r="AI23" i="5"/>
  <c r="AJ12" i="6"/>
  <c r="AD29" i="9"/>
  <c r="AD30" i="9" s="1"/>
  <c r="AD12" i="7"/>
  <c r="K16" i="13"/>
  <c r="J16" i="13"/>
  <c r="I16" i="13"/>
  <c r="K17" i="13"/>
  <c r="J17" i="13"/>
  <c r="I17" i="13"/>
  <c r="AI13" i="7"/>
  <c r="M17" i="10"/>
  <c r="H8" i="12"/>
  <c r="G49" i="10"/>
  <c r="H49" i="10"/>
  <c r="N49" i="10"/>
  <c r="G48" i="10"/>
  <c r="N48" i="10"/>
  <c r="AK33" i="5"/>
  <c r="G9" i="10"/>
  <c r="N9" i="10"/>
  <c r="K17" i="10"/>
  <c r="F8" i="12"/>
  <c r="G18" i="12" s="1"/>
  <c r="J20" i="11"/>
  <c r="J18" i="13"/>
  <c r="I18" i="13"/>
  <c r="K18" i="13"/>
  <c r="AH14" i="9"/>
  <c r="AH24" i="9" s="1"/>
  <c r="AH24" i="7" s="1"/>
  <c r="AH41" i="5"/>
  <c r="AH15" i="6" s="1"/>
  <c r="AH10" i="6"/>
  <c r="L17" i="10"/>
  <c r="G8" i="12"/>
  <c r="H18" i="12" s="1"/>
  <c r="AK40" i="9"/>
  <c r="AK42" i="9" s="1"/>
  <c r="AK18" i="7" s="1"/>
  <c r="AJ18" i="7"/>
  <c r="AA36" i="9"/>
  <c r="AA37" i="9" s="1"/>
  <c r="F16" i="12"/>
  <c r="F17" i="12"/>
  <c r="AE29" i="9"/>
  <c r="AE30" i="9" s="1"/>
  <c r="AE12" i="7"/>
  <c r="AF13" i="6"/>
  <c r="J21" i="10"/>
  <c r="K20" i="13"/>
  <c r="I20" i="13"/>
  <c r="J20" i="13"/>
  <c r="J17" i="10"/>
  <c r="J19" i="10" s="1"/>
  <c r="E8" i="12"/>
  <c r="F18" i="12" s="1"/>
  <c r="G12" i="11"/>
  <c r="K19" i="13"/>
  <c r="J19" i="13"/>
  <c r="I19" i="13"/>
  <c r="AK22" i="8"/>
  <c r="G68" i="10"/>
  <c r="H68" i="10"/>
  <c r="G34" i="10"/>
  <c r="H34" i="10"/>
  <c r="N34" i="10"/>
  <c r="I80" i="10"/>
  <c r="I15" i="13"/>
  <c r="K15" i="13"/>
  <c r="J15" i="13"/>
  <c r="L21" i="10"/>
  <c r="N68" i="10"/>
  <c r="G47" i="10"/>
  <c r="H47" i="10"/>
  <c r="E11" i="11" s="1"/>
  <c r="K22" i="13"/>
  <c r="J22" i="13"/>
  <c r="I22" i="13"/>
  <c r="I67" i="10"/>
  <c r="E15" i="2"/>
  <c r="E58" i="13"/>
  <c r="E59" i="13" s="1"/>
  <c r="E13" i="2"/>
  <c r="AE57" i="6"/>
  <c r="AE62" i="5"/>
  <c r="Z70" i="2"/>
  <c r="AE44" i="6"/>
  <c r="AH43" i="5"/>
  <c r="AH27" i="5"/>
  <c r="AH36" i="5" s="1"/>
  <c r="AH37" i="5" s="1"/>
  <c r="G83" i="10"/>
  <c r="G84" i="10" s="1"/>
  <c r="N83" i="10"/>
  <c r="X29" i="7"/>
  <c r="X30" i="7" s="1"/>
  <c r="Y51" i="9"/>
  <c r="H17" i="12"/>
  <c r="H16" i="12"/>
  <c r="E8" i="11"/>
  <c r="AI54" i="5"/>
  <c r="AI53" i="5"/>
  <c r="F58" i="13"/>
  <c r="F59" i="13" s="1"/>
  <c r="F13" i="2"/>
  <c r="J21" i="13"/>
  <c r="I21" i="13"/>
  <c r="K21" i="13"/>
  <c r="AE53" i="9"/>
  <c r="AE12" i="8"/>
  <c r="AH38" i="6"/>
  <c r="AF63" i="5" l="1"/>
  <c r="AF59" i="5"/>
  <c r="I20" i="11"/>
  <c r="AF51" i="6"/>
  <c r="M55" i="10" s="1"/>
  <c r="AJ13" i="9"/>
  <c r="AJ18" i="9" s="1"/>
  <c r="AJ13" i="7" s="1"/>
  <c r="AJ51" i="5"/>
  <c r="AJ54" i="5" s="1"/>
  <c r="H19" i="12"/>
  <c r="M32" i="10"/>
  <c r="F13" i="11"/>
  <c r="F19" i="11" s="1"/>
  <c r="AG63" i="5"/>
  <c r="AG61" i="5"/>
  <c r="M37" i="10" s="1"/>
  <c r="AG59" i="5"/>
  <c r="G13" i="11"/>
  <c r="G19" i="11" s="1"/>
  <c r="H19" i="11"/>
  <c r="H20" i="12"/>
  <c r="AH42" i="5"/>
  <c r="G19" i="12"/>
  <c r="AK43" i="5"/>
  <c r="AK27" i="5"/>
  <c r="H11" i="10"/>
  <c r="F19" i="12"/>
  <c r="E20" i="11"/>
  <c r="F20" i="12"/>
  <c r="Y28" i="6"/>
  <c r="Y29" i="6"/>
  <c r="K43" i="10"/>
  <c r="K44" i="10" s="1"/>
  <c r="AK34" i="5"/>
  <c r="AK50" i="5"/>
  <c r="AG26" i="7"/>
  <c r="AG28" i="7" s="1"/>
  <c r="AF26" i="7"/>
  <c r="AF28" i="7" s="1"/>
  <c r="AJ16" i="6"/>
  <c r="AJ44" i="5"/>
  <c r="AG21" i="6"/>
  <c r="AF11" i="9"/>
  <c r="AF20" i="6"/>
  <c r="M26" i="10"/>
  <c r="AB34" i="9"/>
  <c r="AA17" i="7"/>
  <c r="AG35" i="9"/>
  <c r="AG16" i="8" s="1"/>
  <c r="AG18" i="8" s="1"/>
  <c r="AG28" i="9"/>
  <c r="AG20" i="7" s="1"/>
  <c r="AG20" i="9"/>
  <c r="AG15" i="7" s="1"/>
  <c r="AG16" i="9"/>
  <c r="AA39" i="9"/>
  <c r="AA43" i="9"/>
  <c r="AA50" i="6" s="1"/>
  <c r="AK17" i="5"/>
  <c r="AK39" i="6"/>
  <c r="N46" i="10" s="1"/>
  <c r="AI43" i="6"/>
  <c r="I18" i="11"/>
  <c r="AG53" i="9"/>
  <c r="AG12" i="8"/>
  <c r="AJ43" i="6"/>
  <c r="X35" i="8"/>
  <c r="S72" i="2"/>
  <c r="X34" i="8"/>
  <c r="AJ41" i="5"/>
  <c r="AJ15" i="6" s="1"/>
  <c r="AJ14" i="9"/>
  <c r="AJ24" i="9" s="1"/>
  <c r="AJ24" i="7" s="1"/>
  <c r="AJ10" i="6"/>
  <c r="AJ36" i="5"/>
  <c r="AJ37" i="5" s="1"/>
  <c r="H18" i="11"/>
  <c r="AI27" i="5"/>
  <c r="AI36" i="5" s="1"/>
  <c r="AI37" i="5" s="1"/>
  <c r="AI43" i="5"/>
  <c r="AK13" i="5"/>
  <c r="N8" i="10"/>
  <c r="AI14" i="9"/>
  <c r="AI24" i="9" s="1"/>
  <c r="AI24" i="7" s="1"/>
  <c r="AI41" i="5"/>
  <c r="AI15" i="6" s="1"/>
  <c r="AI10" i="6"/>
  <c r="N11" i="10"/>
  <c r="AH16" i="6"/>
  <c r="AH19" i="6" s="1"/>
  <c r="AH12" i="9" s="1"/>
  <c r="AH44" i="5"/>
  <c r="G20" i="12"/>
  <c r="AH11" i="6"/>
  <c r="AH45" i="5"/>
  <c r="AH38" i="5"/>
  <c r="AF57" i="6"/>
  <c r="AA70" i="2"/>
  <c r="AF62" i="5"/>
  <c r="AF44" i="6"/>
  <c r="AJ45" i="5"/>
  <c r="AJ46" i="5" s="1"/>
  <c r="AJ11" i="6"/>
  <c r="AE32" i="9"/>
  <c r="AE13" i="8" s="1"/>
  <c r="AD32" i="9"/>
  <c r="AD13" i="8" s="1"/>
  <c r="AH43" i="6"/>
  <c r="M33" i="10"/>
  <c r="M16" i="10"/>
  <c r="I77" i="2"/>
  <c r="M36" i="10"/>
  <c r="N10" i="10"/>
  <c r="K10" i="11"/>
  <c r="K11" i="11" s="1"/>
  <c r="J6" i="2"/>
  <c r="Z25" i="6"/>
  <c r="Z24" i="6"/>
  <c r="Z23" i="6"/>
  <c r="X10" i="7"/>
  <c r="Y26" i="8"/>
  <c r="AF12" i="8" l="1"/>
  <c r="AF53" i="9"/>
  <c r="AJ53" i="5"/>
  <c r="AJ31" i="9"/>
  <c r="G18" i="11"/>
  <c r="B21" i="2" s="1"/>
  <c r="N31" i="10"/>
  <c r="N15" i="10" s="1"/>
  <c r="AG44" i="6"/>
  <c r="AG62" i="5"/>
  <c r="AG57" i="6"/>
  <c r="AB70" i="2"/>
  <c r="F18" i="11"/>
  <c r="H22" i="12"/>
  <c r="H24" i="12" s="1"/>
  <c r="AJ42" i="5"/>
  <c r="AJ58" i="5" s="1"/>
  <c r="AJ13" i="6"/>
  <c r="AJ11" i="9" s="1"/>
  <c r="AH56" i="5"/>
  <c r="AH58" i="5"/>
  <c r="F22" i="12"/>
  <c r="F23" i="12" s="1"/>
  <c r="G22" i="12"/>
  <c r="G23" i="12" s="1"/>
  <c r="AJ19" i="6"/>
  <c r="AJ12" i="9" s="1"/>
  <c r="AJ26" i="9" s="1"/>
  <c r="AJ25" i="7" s="1"/>
  <c r="AI42" i="5"/>
  <c r="K20" i="11"/>
  <c r="AF21" i="6"/>
  <c r="M35" i="10"/>
  <c r="AK17" i="6"/>
  <c r="AK13" i="9"/>
  <c r="AK18" i="9" s="1"/>
  <c r="H13" i="12"/>
  <c r="M27" i="10"/>
  <c r="I8" i="2"/>
  <c r="AH51" i="6"/>
  <c r="AH59" i="5"/>
  <c r="AH61" i="5"/>
  <c r="AH63" i="5"/>
  <c r="I6" i="12"/>
  <c r="K6" i="11"/>
  <c r="K16" i="11" s="1"/>
  <c r="Y52" i="6"/>
  <c r="Y54" i="6" s="1"/>
  <c r="Y30" i="6"/>
  <c r="K53" i="10"/>
  <c r="AF35" i="9"/>
  <c r="AF16" i="8" s="1"/>
  <c r="AF28" i="9"/>
  <c r="AF20" i="7" s="1"/>
  <c r="AF20" i="9"/>
  <c r="AF15" i="7" s="1"/>
  <c r="AF16" i="9"/>
  <c r="AJ38" i="5"/>
  <c r="Z27" i="6"/>
  <c r="AK14" i="9"/>
  <c r="AK24" i="9" s="1"/>
  <c r="AK24" i="7" s="1"/>
  <c r="AK41" i="5"/>
  <c r="AK15" i="6" s="1"/>
  <c r="AK10" i="6"/>
  <c r="N23" i="10" s="1"/>
  <c r="AK36" i="5"/>
  <c r="AK37" i="5" s="1"/>
  <c r="E20" i="16"/>
  <c r="G20" i="16" s="1"/>
  <c r="M86" i="10"/>
  <c r="AB36" i="9"/>
  <c r="AH46" i="5"/>
  <c r="AK38" i="6"/>
  <c r="H46" i="10"/>
  <c r="E16" i="11" s="1"/>
  <c r="P13" i="15"/>
  <c r="J5" i="2"/>
  <c r="AK45" i="5"/>
  <c r="AK11" i="6"/>
  <c r="G24" i="10" s="1"/>
  <c r="AK12" i="6"/>
  <c r="AK51" i="5"/>
  <c r="N20" i="10"/>
  <c r="N13" i="10"/>
  <c r="J7" i="2"/>
  <c r="AG29" i="9"/>
  <c r="AG30" i="9" s="1"/>
  <c r="AG12" i="7"/>
  <c r="AK44" i="5"/>
  <c r="AK16" i="6"/>
  <c r="G31" i="10"/>
  <c r="G15" i="10" s="1"/>
  <c r="J7" i="11"/>
  <c r="M38" i="10"/>
  <c r="I10" i="2" s="1"/>
  <c r="I9" i="2"/>
  <c r="M51" i="10"/>
  <c r="I11" i="2" s="1"/>
  <c r="AH13" i="6"/>
  <c r="H20" i="10"/>
  <c r="H13" i="10"/>
  <c r="D7" i="2"/>
  <c r="I20" i="10"/>
  <c r="I21" i="10" s="1"/>
  <c r="H14" i="10"/>
  <c r="H15" i="10"/>
  <c r="AH26" i="9"/>
  <c r="AH25" i="7" s="1"/>
  <c r="AH22" i="9"/>
  <c r="AH23" i="7" s="1"/>
  <c r="AI11" i="6"/>
  <c r="AI13" i="6" s="1"/>
  <c r="AI45" i="5"/>
  <c r="AI46" i="5" s="1"/>
  <c r="AI38" i="5"/>
  <c r="X29" i="8"/>
  <c r="X30" i="8" s="1"/>
  <c r="X16" i="7"/>
  <c r="X21" i="7" s="1"/>
  <c r="X32" i="7" s="1"/>
  <c r="Y31" i="6"/>
  <c r="K58" i="10" s="1"/>
  <c r="K73" i="10" s="1"/>
  <c r="Y48" i="9"/>
  <c r="AA11" i="8"/>
  <c r="AA45" i="6"/>
  <c r="AI16" i="6"/>
  <c r="AI19" i="6" s="1"/>
  <c r="AI12" i="9" s="1"/>
  <c r="AI44" i="5"/>
  <c r="AJ56" i="5" l="1"/>
  <c r="AJ20" i="6"/>
  <c r="AJ21" i="6" s="1"/>
  <c r="AJ22" i="9"/>
  <c r="AJ23" i="7" s="1"/>
  <c r="AJ26" i="7" s="1"/>
  <c r="AJ28" i="7" s="1"/>
  <c r="G24" i="12"/>
  <c r="F24" i="12"/>
  <c r="AK38" i="5"/>
  <c r="Y33" i="6"/>
  <c r="Y34" i="6" s="1"/>
  <c r="K60" i="10" s="1"/>
  <c r="K75" i="10" s="1"/>
  <c r="AH26" i="7"/>
  <c r="AH28" i="7" s="1"/>
  <c r="H21" i="10"/>
  <c r="AK19" i="6"/>
  <c r="AK12" i="9" s="1"/>
  <c r="AK22" i="9" s="1"/>
  <c r="AK23" i="7" s="1"/>
  <c r="AI26" i="9"/>
  <c r="AI25" i="7" s="1"/>
  <c r="AI22" i="9"/>
  <c r="AI23" i="7" s="1"/>
  <c r="AI11" i="9"/>
  <c r="AI20" i="6"/>
  <c r="N12" i="10"/>
  <c r="I7" i="12" s="1"/>
  <c r="I17" i="12" s="1"/>
  <c r="I10" i="12"/>
  <c r="N29" i="10"/>
  <c r="F99" i="14"/>
  <c r="G99" i="14" s="1"/>
  <c r="Y55" i="6"/>
  <c r="Y56" i="6"/>
  <c r="H10" i="13"/>
  <c r="Y58" i="6"/>
  <c r="T71" i="2"/>
  <c r="K61" i="10"/>
  <c r="AK43" i="6"/>
  <c r="G45" i="10"/>
  <c r="H45" i="10"/>
  <c r="N45" i="10"/>
  <c r="K14" i="11" s="1"/>
  <c r="I16" i="12"/>
  <c r="I18" i="12"/>
  <c r="AJ63" i="5"/>
  <c r="AJ51" i="6"/>
  <c r="AJ59" i="5"/>
  <c r="AJ61" i="5"/>
  <c r="H17" i="10"/>
  <c r="H19" i="10" s="1"/>
  <c r="I17" i="10"/>
  <c r="I19" i="10" s="1"/>
  <c r="AH11" i="9"/>
  <c r="AH20" i="6"/>
  <c r="AB39" i="9"/>
  <c r="AB43" i="9"/>
  <c r="AB50" i="6" s="1"/>
  <c r="AB37" i="9"/>
  <c r="AH57" i="6"/>
  <c r="AH62" i="5"/>
  <c r="AC70" i="2"/>
  <c r="I15" i="12"/>
  <c r="H23" i="12"/>
  <c r="AI58" i="5"/>
  <c r="AK46" i="5"/>
  <c r="H29" i="10"/>
  <c r="AK13" i="7"/>
  <c r="AK31" i="9"/>
  <c r="AA25" i="6"/>
  <c r="AA24" i="6"/>
  <c r="AA23" i="6"/>
  <c r="N24" i="10"/>
  <c r="AH53" i="9"/>
  <c r="AH12" i="8"/>
  <c r="AK42" i="5"/>
  <c r="J8" i="11"/>
  <c r="J18" i="11" s="1"/>
  <c r="J19" i="11"/>
  <c r="AF18" i="8"/>
  <c r="M65" i="10"/>
  <c r="M78" i="10" s="1"/>
  <c r="N17" i="10"/>
  <c r="I8" i="12"/>
  <c r="I19" i="12" s="1"/>
  <c r="N21" i="10"/>
  <c r="G14" i="10"/>
  <c r="G33" i="10"/>
  <c r="AI56" i="5"/>
  <c r="Z28" i="6"/>
  <c r="Z29" i="6"/>
  <c r="AK54" i="5"/>
  <c r="AK53" i="5"/>
  <c r="H30" i="10"/>
  <c r="D78" i="2" s="1"/>
  <c r="N30" i="10"/>
  <c r="J78" i="2" s="1"/>
  <c r="AF29" i="9"/>
  <c r="AF30" i="9" s="1"/>
  <c r="AF12" i="7"/>
  <c r="AJ28" i="9"/>
  <c r="AJ20" i="7" s="1"/>
  <c r="AJ35" i="9"/>
  <c r="AJ16" i="8" s="1"/>
  <c r="AJ18" i="8" s="1"/>
  <c r="AJ16" i="9"/>
  <c r="AJ20" i="9"/>
  <c r="AJ15" i="7" s="1"/>
  <c r="AK13" i="6"/>
  <c r="H23" i="10"/>
  <c r="G23" i="10"/>
  <c r="AH44" i="6"/>
  <c r="H25" i="10"/>
  <c r="G25" i="10"/>
  <c r="N25" i="10"/>
  <c r="I12" i="12" s="1"/>
  <c r="I21" i="12" s="1"/>
  <c r="AK26" i="9" l="1"/>
  <c r="AK25" i="7" s="1"/>
  <c r="AK26" i="7" s="1"/>
  <c r="AK28" i="7" s="1"/>
  <c r="AI26" i="7"/>
  <c r="AI28" i="7" s="1"/>
  <c r="Y35" i="6"/>
  <c r="Y10" i="8" s="1"/>
  <c r="Y14" i="8" s="1"/>
  <c r="AK56" i="5"/>
  <c r="AK58" i="5"/>
  <c r="N28" i="10"/>
  <c r="H52" i="10"/>
  <c r="E12" i="11" s="1"/>
  <c r="E13" i="11" s="1"/>
  <c r="N52" i="10"/>
  <c r="K12" i="11" s="1"/>
  <c r="K13" i="11" s="1"/>
  <c r="AJ57" i="6"/>
  <c r="AJ62" i="5"/>
  <c r="AE70" i="2"/>
  <c r="AJ44" i="6"/>
  <c r="N14" i="10"/>
  <c r="I9" i="12" s="1"/>
  <c r="I20" i="12" s="1"/>
  <c r="I22" i="12" s="1"/>
  <c r="I11" i="12"/>
  <c r="E14" i="11"/>
  <c r="E22" i="11"/>
  <c r="H33" i="10"/>
  <c r="H16" i="10"/>
  <c r="D77" i="2"/>
  <c r="H36" i="10"/>
  <c r="H12" i="10"/>
  <c r="H32" i="10"/>
  <c r="AK11" i="9"/>
  <c r="AK20" i="6"/>
  <c r="H26" i="10"/>
  <c r="AG32" i="9"/>
  <c r="AG13" i="8" s="1"/>
  <c r="AF32" i="9"/>
  <c r="AF13" i="8" s="1"/>
  <c r="Z52" i="6"/>
  <c r="Z54" i="6" s="1"/>
  <c r="Z30" i="6"/>
  <c r="H24" i="13"/>
  <c r="H23" i="13"/>
  <c r="G13" i="15"/>
  <c r="H7" i="13"/>
  <c r="K71" i="10"/>
  <c r="K79" i="10" s="1"/>
  <c r="K62" i="10"/>
  <c r="H25" i="13"/>
  <c r="G12" i="2"/>
  <c r="AI51" i="6"/>
  <c r="AI59" i="5"/>
  <c r="AI63" i="5"/>
  <c r="AI61" i="5"/>
  <c r="G12" i="10"/>
  <c r="G32" i="10"/>
  <c r="G77" i="10"/>
  <c r="N77" i="10"/>
  <c r="AJ12" i="7"/>
  <c r="AJ29" i="9"/>
  <c r="AJ30" i="9" s="1"/>
  <c r="AA27" i="6"/>
  <c r="N16" i="10"/>
  <c r="N33" i="10"/>
  <c r="J77" i="2"/>
  <c r="AJ53" i="9"/>
  <c r="AJ12" i="8"/>
  <c r="AC34" i="9"/>
  <c r="AB17" i="7"/>
  <c r="AB11" i="8"/>
  <c r="AB45" i="6"/>
  <c r="AI21" i="6"/>
  <c r="G50" i="10"/>
  <c r="N50" i="10"/>
  <c r="N26" i="10"/>
  <c r="AH21" i="6"/>
  <c r="AI28" i="9"/>
  <c r="AI20" i="7" s="1"/>
  <c r="AI35" i="9"/>
  <c r="AI16" i="8" s="1"/>
  <c r="AI18" i="8" s="1"/>
  <c r="AI16" i="9"/>
  <c r="AI20" i="9"/>
  <c r="AI15" i="7" s="1"/>
  <c r="AH16" i="9"/>
  <c r="AH20" i="9"/>
  <c r="AH15" i="7" s="1"/>
  <c r="AH35" i="9"/>
  <c r="AH16" i="8" s="1"/>
  <c r="AH28" i="9"/>
  <c r="AH20" i="7" s="1"/>
  <c r="J10" i="13"/>
  <c r="I10" i="13"/>
  <c r="K54" i="10" l="1"/>
  <c r="G14" i="2" s="1"/>
  <c r="Y36" i="6"/>
  <c r="Y52" i="9"/>
  <c r="Y56" i="9" s="1"/>
  <c r="Z51" i="9" s="1"/>
  <c r="M69" i="10"/>
  <c r="M76" i="10" s="1"/>
  <c r="Y25" i="8"/>
  <c r="Y27" i="8" s="1"/>
  <c r="Y32" i="8"/>
  <c r="K64" i="10"/>
  <c r="K66" i="10" s="1"/>
  <c r="K80" i="10" s="1"/>
  <c r="AK35" i="9"/>
  <c r="AK16" i="8" s="1"/>
  <c r="N65" i="10" s="1"/>
  <c r="N78" i="10" s="1"/>
  <c r="AK20" i="9"/>
  <c r="AK15" i="7" s="1"/>
  <c r="AK16" i="9"/>
  <c r="AK28" i="9"/>
  <c r="AK20" i="7" s="1"/>
  <c r="Z55" i="6"/>
  <c r="U71" i="2"/>
  <c r="Z58" i="6"/>
  <c r="Z56" i="6"/>
  <c r="G86" i="10"/>
  <c r="N86" i="10"/>
  <c r="AC36" i="9"/>
  <c r="AK21" i="6"/>
  <c r="AH29" i="9"/>
  <c r="AH30" i="9" s="1"/>
  <c r="AH12" i="7"/>
  <c r="H27" i="10"/>
  <c r="H91" i="10"/>
  <c r="D8" i="2"/>
  <c r="I27" i="10"/>
  <c r="AH18" i="8"/>
  <c r="E25" i="11"/>
  <c r="E26" i="11"/>
  <c r="N35" i="10"/>
  <c r="I24" i="12"/>
  <c r="E18" i="11"/>
  <c r="E19" i="11"/>
  <c r="AI57" i="6"/>
  <c r="AI62" i="5"/>
  <c r="AD70" i="2"/>
  <c r="AI44" i="6"/>
  <c r="I13" i="12"/>
  <c r="I23" i="12" s="1"/>
  <c r="E18" i="16" s="1"/>
  <c r="G18" i="16" s="1"/>
  <c r="N27" i="10"/>
  <c r="J8" i="2"/>
  <c r="AI12" i="8"/>
  <c r="AI53" i="9"/>
  <c r="I25" i="13"/>
  <c r="K25" i="13"/>
  <c r="J25" i="13"/>
  <c r="N32" i="10"/>
  <c r="N36" i="10"/>
  <c r="J76" i="2"/>
  <c r="J24" i="13"/>
  <c r="K24" i="13"/>
  <c r="I24" i="13"/>
  <c r="AA28" i="6"/>
  <c r="AA29" i="6"/>
  <c r="AI29" i="9"/>
  <c r="AI30" i="9" s="1"/>
  <c r="AJ32" i="9" s="1"/>
  <c r="AJ13" i="8" s="1"/>
  <c r="AI12" i="7"/>
  <c r="J7" i="13"/>
  <c r="I7" i="13"/>
  <c r="AK59" i="5"/>
  <c r="AK63" i="5"/>
  <c r="AK51" i="6"/>
  <c r="N55" i="10" s="1"/>
  <c r="AK61" i="5"/>
  <c r="N37" i="10" s="1"/>
  <c r="N51" i="10" s="1"/>
  <c r="J11" i="2" s="1"/>
  <c r="G58" i="13"/>
  <c r="G59" i="13" s="1"/>
  <c r="G13" i="2"/>
  <c r="AB24" i="6"/>
  <c r="AB25" i="6"/>
  <c r="AB23" i="6"/>
  <c r="J23" i="13"/>
  <c r="I23" i="13"/>
  <c r="K23" i="13"/>
  <c r="Y29" i="7" l="1"/>
  <c r="K88" i="10" s="1"/>
  <c r="AI32" i="9"/>
  <c r="AI13" i="8" s="1"/>
  <c r="AH32" i="9"/>
  <c r="AH13" i="8" s="1"/>
  <c r="AA52" i="6"/>
  <c r="AA54" i="6" s="1"/>
  <c r="AA30" i="6"/>
  <c r="F27" i="11"/>
  <c r="F28" i="11" s="1"/>
  <c r="G27" i="11"/>
  <c r="G28" i="11" s="1"/>
  <c r="E27" i="11"/>
  <c r="E28" i="11" s="1"/>
  <c r="AC43" i="9"/>
  <c r="AC50" i="6" s="1"/>
  <c r="AC39" i="9"/>
  <c r="AK53" i="9"/>
  <c r="AK12" i="8"/>
  <c r="G55" i="10"/>
  <c r="H55" i="10"/>
  <c r="AK18" i="8"/>
  <c r="H65" i="10"/>
  <c r="H78" i="10" s="1"/>
  <c r="G65" i="10"/>
  <c r="K67" i="10"/>
  <c r="G15" i="2"/>
  <c r="AC37" i="9"/>
  <c r="AB27" i="6"/>
  <c r="K7" i="11"/>
  <c r="N38" i="10"/>
  <c r="J10" i="2" s="1"/>
  <c r="J9" i="2"/>
  <c r="AK57" i="6"/>
  <c r="AK62" i="5"/>
  <c r="AF70" i="2"/>
  <c r="AK44" i="6"/>
  <c r="AK12" i="7"/>
  <c r="AK29" i="9"/>
  <c r="AK30" i="9" s="1"/>
  <c r="AK32" i="9" s="1"/>
  <c r="AK13" i="8" s="1"/>
  <c r="H69" i="10" s="1"/>
  <c r="H76" i="10" s="1"/>
  <c r="Y35" i="8"/>
  <c r="Y34" i="8"/>
  <c r="T72" i="2"/>
  <c r="Z26" i="8"/>
  <c r="Y10" i="7"/>
  <c r="Y30" i="7" l="1"/>
  <c r="AB28" i="6"/>
  <c r="AB29" i="6"/>
  <c r="K8" i="11"/>
  <c r="K18" i="11" s="1"/>
  <c r="K19" i="11"/>
  <c r="AA56" i="6"/>
  <c r="AA55" i="6"/>
  <c r="V71" i="2"/>
  <c r="AA58" i="6"/>
  <c r="N69" i="10"/>
  <c r="N76" i="10" s="1"/>
  <c r="AC11" i="8"/>
  <c r="AC45" i="6"/>
  <c r="L56" i="10"/>
  <c r="AD34" i="9"/>
  <c r="AC17" i="7"/>
  <c r="G78" i="10"/>
  <c r="G66" i="10"/>
  <c r="Z48" i="9"/>
  <c r="Y29" i="8"/>
  <c r="Y30" i="8" s="1"/>
  <c r="Y16" i="7"/>
  <c r="Y21" i="7" s="1"/>
  <c r="Z31" i="6"/>
  <c r="K82" i="10"/>
  <c r="K84" i="10" s="1"/>
  <c r="G16" i="2" s="1"/>
  <c r="Z33" i="6" l="1"/>
  <c r="Y32" i="7"/>
  <c r="K85" i="10"/>
  <c r="K89" i="10" s="1"/>
  <c r="AB52" i="6"/>
  <c r="AB54" i="6" s="1"/>
  <c r="AB30" i="6"/>
  <c r="AD36" i="9"/>
  <c r="AC24" i="6"/>
  <c r="AC25" i="6"/>
  <c r="AC23" i="6"/>
  <c r="AC27" i="6" l="1"/>
  <c r="L39" i="10"/>
  <c r="I15" i="11" s="1"/>
  <c r="AD39" i="9"/>
  <c r="AD43" i="9"/>
  <c r="AD50" i="6" s="1"/>
  <c r="Z34" i="6"/>
  <c r="Z35" i="6" s="1"/>
  <c r="AD37" i="9"/>
  <c r="AB56" i="6"/>
  <c r="AB55" i="6"/>
  <c r="W71" i="2"/>
  <c r="AB58" i="6"/>
  <c r="Z52" i="9" l="1"/>
  <c r="Z56" i="9" s="1"/>
  <c r="Z36" i="6"/>
  <c r="Z10" i="8"/>
  <c r="Z14" i="8" s="1"/>
  <c r="AD11" i="8"/>
  <c r="AD45" i="6"/>
  <c r="AE34" i="9"/>
  <c r="AD17" i="7"/>
  <c r="AC28" i="6"/>
  <c r="AC29" i="6"/>
  <c r="L43" i="10"/>
  <c r="L44" i="10" s="1"/>
  <c r="AC52" i="6" l="1"/>
  <c r="AC54" i="6" s="1"/>
  <c r="AC30" i="6"/>
  <c r="L53" i="10"/>
  <c r="AE36" i="9"/>
  <c r="Z25" i="8"/>
  <c r="Z27" i="8" s="1"/>
  <c r="Z32" i="8"/>
  <c r="AD25" i="6"/>
  <c r="AD24" i="6"/>
  <c r="AD23" i="6"/>
  <c r="AA51" i="9"/>
  <c r="Z29" i="7"/>
  <c r="Z30" i="7" s="1"/>
  <c r="AD27" i="6" l="1"/>
  <c r="AA26" i="8"/>
  <c r="Z10" i="7"/>
  <c r="AE39" i="9"/>
  <c r="AE43" i="9"/>
  <c r="AE50" i="6" s="1"/>
  <c r="AC55" i="6"/>
  <c r="AC58" i="6"/>
  <c r="X71" i="2"/>
  <c r="AC56" i="6"/>
  <c r="L61" i="10"/>
  <c r="Z34" i="8"/>
  <c r="Z35" i="8"/>
  <c r="U72" i="2"/>
  <c r="AE37" i="9"/>
  <c r="E35" i="15" l="1"/>
  <c r="E27" i="15"/>
  <c r="J13" i="15"/>
  <c r="E19" i="15"/>
  <c r="L71" i="10"/>
  <c r="L62" i="10"/>
  <c r="H12" i="2"/>
  <c r="AE17" i="7"/>
  <c r="AF34" i="9"/>
  <c r="AE11" i="8"/>
  <c r="AE45" i="6"/>
  <c r="AA48" i="9"/>
  <c r="Z29" i="8"/>
  <c r="Z30" i="8" s="1"/>
  <c r="Z16" i="7"/>
  <c r="Z21" i="7" s="1"/>
  <c r="Z32" i="7" s="1"/>
  <c r="AA31" i="6"/>
  <c r="AD28" i="6"/>
  <c r="AD29" i="6"/>
  <c r="AA33" i="6" l="1"/>
  <c r="H58" i="13"/>
  <c r="H59" i="13" s="1"/>
  <c r="H13" i="2"/>
  <c r="AD30" i="6"/>
  <c r="AD52" i="6"/>
  <c r="AD54" i="6" s="1"/>
  <c r="AE24" i="6"/>
  <c r="AE25" i="6"/>
  <c r="AE23" i="6"/>
  <c r="AF36" i="9"/>
  <c r="AF37" i="9" s="1"/>
  <c r="AG34" i="9" l="1"/>
  <c r="AF17" i="7"/>
  <c r="AD55" i="6"/>
  <c r="Y71" i="2"/>
  <c r="AD56" i="6"/>
  <c r="AD58" i="6"/>
  <c r="AF39" i="9"/>
  <c r="AF43" i="9"/>
  <c r="AF50" i="6" s="1"/>
  <c r="AE27" i="6"/>
  <c r="AA34" i="6"/>
  <c r="AA35" i="6" l="1"/>
  <c r="AE28" i="6"/>
  <c r="AE29" i="6"/>
  <c r="AF11" i="8"/>
  <c r="AF45" i="6"/>
  <c r="AG36" i="9"/>
  <c r="AG37" i="9" s="1"/>
  <c r="AH34" i="9" l="1"/>
  <c r="AG17" i="7"/>
  <c r="AF25" i="6"/>
  <c r="AF24" i="6"/>
  <c r="AF23" i="6"/>
  <c r="AG43" i="9"/>
  <c r="AG50" i="6" s="1"/>
  <c r="AG39" i="9"/>
  <c r="AA52" i="9"/>
  <c r="AA56" i="9" s="1"/>
  <c r="AA10" i="8"/>
  <c r="AA14" i="8" s="1"/>
  <c r="AA36" i="6"/>
  <c r="AE30" i="6"/>
  <c r="AE52" i="6"/>
  <c r="AE54" i="6" s="1"/>
  <c r="AA25" i="8" l="1"/>
  <c r="AA27" i="8" s="1"/>
  <c r="AA32" i="8"/>
  <c r="AF27" i="6"/>
  <c r="AE55" i="6"/>
  <c r="AE58" i="6"/>
  <c r="AE56" i="6"/>
  <c r="Z71" i="2"/>
  <c r="AB51" i="9"/>
  <c r="AA29" i="7"/>
  <c r="AA30" i="7" s="1"/>
  <c r="AG11" i="8"/>
  <c r="AG45" i="6"/>
  <c r="M56" i="10"/>
  <c r="AH36" i="9"/>
  <c r="AH37" i="9" s="1"/>
  <c r="AH17" i="7" l="1"/>
  <c r="AI34" i="9"/>
  <c r="AG25" i="6"/>
  <c r="AG24" i="6"/>
  <c r="AG23" i="6"/>
  <c r="AA34" i="8"/>
  <c r="AA35" i="8"/>
  <c r="V72" i="2"/>
  <c r="AH43" i="9"/>
  <c r="AH50" i="6" s="1"/>
  <c r="AH39" i="9"/>
  <c r="AF28" i="6"/>
  <c r="AF29" i="6"/>
  <c r="AB26" i="8"/>
  <c r="AA10" i="7"/>
  <c r="AA29" i="8" l="1"/>
  <c r="AA30" i="8" s="1"/>
  <c r="AB31" i="6"/>
  <c r="AB48" i="9"/>
  <c r="AA16" i="7"/>
  <c r="AA21" i="7" s="1"/>
  <c r="AA32" i="7" s="1"/>
  <c r="AF52" i="6"/>
  <c r="AF54" i="6" s="1"/>
  <c r="AF30" i="6"/>
  <c r="AH11" i="8"/>
  <c r="AH45" i="6"/>
  <c r="AG27" i="6"/>
  <c r="M39" i="10"/>
  <c r="J15" i="11" s="1"/>
  <c r="AI36" i="9"/>
  <c r="AG28" i="6" l="1"/>
  <c r="AG29" i="6"/>
  <c r="M43" i="10"/>
  <c r="M44" i="10" s="1"/>
  <c r="AI43" i="9"/>
  <c r="AI50" i="6" s="1"/>
  <c r="AI39" i="9"/>
  <c r="AH25" i="6"/>
  <c r="AH24" i="6"/>
  <c r="AH23" i="6"/>
  <c r="AB33" i="6"/>
  <c r="AI37" i="9"/>
  <c r="AF58" i="6"/>
  <c r="AF56" i="6"/>
  <c r="AF55" i="6"/>
  <c r="AA71" i="2"/>
  <c r="AH27" i="6" l="1"/>
  <c r="AI11" i="8"/>
  <c r="AI45" i="6"/>
  <c r="AG52" i="6"/>
  <c r="AG54" i="6" s="1"/>
  <c r="AG30" i="6"/>
  <c r="M53" i="10"/>
  <c r="AI17" i="7"/>
  <c r="AJ34" i="9"/>
  <c r="AB34" i="6"/>
  <c r="AB35" i="6" s="1"/>
  <c r="AB52" i="9" l="1"/>
  <c r="AB56" i="9" s="1"/>
  <c r="AB10" i="8"/>
  <c r="AB14" i="8" s="1"/>
  <c r="AB36" i="6"/>
  <c r="AJ36" i="9"/>
  <c r="AG58" i="6"/>
  <c r="AG56" i="6"/>
  <c r="AG55" i="6"/>
  <c r="AB71" i="2"/>
  <c r="M61" i="10"/>
  <c r="AI25" i="6"/>
  <c r="AI24" i="6"/>
  <c r="AI23" i="6"/>
  <c r="AH28" i="6"/>
  <c r="AH29" i="6"/>
  <c r="AH52" i="6" l="1"/>
  <c r="AH54" i="6" s="1"/>
  <c r="AH30" i="6"/>
  <c r="AJ43" i="9"/>
  <c r="AJ50" i="6" s="1"/>
  <c r="AJ39" i="9"/>
  <c r="AB25" i="8"/>
  <c r="AB27" i="8" s="1"/>
  <c r="AB32" i="8"/>
  <c r="AI27" i="6"/>
  <c r="L13" i="15"/>
  <c r="M71" i="10"/>
  <c r="M62" i="10"/>
  <c r="I12" i="2"/>
  <c r="AJ37" i="9"/>
  <c r="AC51" i="9"/>
  <c r="AB29" i="7"/>
  <c r="AB30" i="7" s="1"/>
  <c r="AC26" i="8" l="1"/>
  <c r="AB10" i="7"/>
  <c r="AJ11" i="8"/>
  <c r="AJ45" i="6"/>
  <c r="AJ17" i="7"/>
  <c r="AK34" i="9"/>
  <c r="I58" i="13"/>
  <c r="I59" i="13" s="1"/>
  <c r="I13" i="2"/>
  <c r="AI28" i="6"/>
  <c r="AI29" i="6"/>
  <c r="AB34" i="8"/>
  <c r="AB35" i="8"/>
  <c r="W72" i="2"/>
  <c r="AH58" i="6"/>
  <c r="AH56" i="6"/>
  <c r="AH55" i="6"/>
  <c r="AC71" i="2"/>
  <c r="AI52" i="6" l="1"/>
  <c r="AI54" i="6" s="1"/>
  <c r="AI30" i="6"/>
  <c r="AK36" i="9"/>
  <c r="AB29" i="8"/>
  <c r="AB30" i="8" s="1"/>
  <c r="AB16" i="7"/>
  <c r="AB21" i="7" s="1"/>
  <c r="AB32" i="7" s="1"/>
  <c r="AC31" i="6"/>
  <c r="AC48" i="9"/>
  <c r="AJ24" i="6"/>
  <c r="AJ25" i="6"/>
  <c r="AJ23" i="6"/>
  <c r="AJ27" i="6" l="1"/>
  <c r="AK43" i="9"/>
  <c r="AK50" i="6" s="1"/>
  <c r="AK39" i="9"/>
  <c r="AK37" i="9"/>
  <c r="AK17" i="7" s="1"/>
  <c r="AC33" i="6"/>
  <c r="L58" i="10"/>
  <c r="L73" i="10" s="1"/>
  <c r="AI56" i="6"/>
  <c r="AI55" i="6"/>
  <c r="AD71" i="2"/>
  <c r="AI58" i="6"/>
  <c r="AC34" i="6" l="1"/>
  <c r="AC35" i="6" s="1"/>
  <c r="AK11" i="8"/>
  <c r="H56" i="10"/>
  <c r="G56" i="10"/>
  <c r="AK45" i="6"/>
  <c r="N56" i="10"/>
  <c r="AJ28" i="6"/>
  <c r="AJ29" i="6"/>
  <c r="AC52" i="9" l="1"/>
  <c r="AC56" i="9" s="1"/>
  <c r="AC36" i="6"/>
  <c r="AC10" i="8"/>
  <c r="AC14" i="8" s="1"/>
  <c r="L54" i="10"/>
  <c r="H14" i="2" s="1"/>
  <c r="AJ52" i="6"/>
  <c r="AJ54" i="6" s="1"/>
  <c r="AJ30" i="6"/>
  <c r="AK25" i="6"/>
  <c r="AK24" i="6"/>
  <c r="AK23" i="6"/>
  <c r="E25" i="16"/>
  <c r="G25" i="16" s="1"/>
  <c r="G40" i="10" l="1"/>
  <c r="H40" i="10"/>
  <c r="L40" i="10"/>
  <c r="M40" i="10"/>
  <c r="N40" i="10"/>
  <c r="G41" i="10"/>
  <c r="H41" i="10"/>
  <c r="L41" i="10"/>
  <c r="M41" i="10"/>
  <c r="N41" i="10"/>
  <c r="AJ56" i="6"/>
  <c r="AJ55" i="6"/>
  <c r="AE71" i="2"/>
  <c r="AJ58" i="6"/>
  <c r="AC32" i="8"/>
  <c r="AC25" i="8"/>
  <c r="AC27" i="8" s="1"/>
  <c r="L64" i="10"/>
  <c r="L66" i="10" s="1"/>
  <c r="AK27" i="6"/>
  <c r="H39" i="10"/>
  <c r="E15" i="11" s="1"/>
  <c r="N39" i="10"/>
  <c r="K15" i="11" s="1"/>
  <c r="AD51" i="9"/>
  <c r="AC29" i="7"/>
  <c r="K13" i="15" l="1"/>
  <c r="H15" i="2"/>
  <c r="L67" i="10"/>
  <c r="B23" i="2"/>
  <c r="AC30" i="7"/>
  <c r="L88" i="10"/>
  <c r="AK28" i="6"/>
  <c r="H43" i="10"/>
  <c r="H44" i="10" s="1"/>
  <c r="AK29" i="6"/>
  <c r="N43" i="10"/>
  <c r="N44" i="10" s="1"/>
  <c r="AC10" i="7"/>
  <c r="AD26" i="8"/>
  <c r="AC35" i="8"/>
  <c r="AC34" i="8"/>
  <c r="X72" i="2"/>
  <c r="AD48" i="9" l="1"/>
  <c r="AC16" i="7"/>
  <c r="AC21" i="7" s="1"/>
  <c r="AD31" i="6"/>
  <c r="AC29" i="8"/>
  <c r="AC30" i="8" s="1"/>
  <c r="L82" i="10"/>
  <c r="L84" i="10" s="1"/>
  <c r="H16" i="2" s="1"/>
  <c r="AK30" i="6"/>
  <c r="AK52" i="6"/>
  <c r="AK54" i="6" s="1"/>
  <c r="N53" i="10"/>
  <c r="AK56" i="6" l="1"/>
  <c r="AF71" i="2"/>
  <c r="AK55" i="6"/>
  <c r="AK58" i="6"/>
  <c r="E23" i="16" s="1"/>
  <c r="G23" i="16" s="1"/>
  <c r="H61" i="10"/>
  <c r="N61" i="10"/>
  <c r="AD33" i="6"/>
  <c r="AC32" i="7"/>
  <c r="L85" i="10"/>
  <c r="L89" i="10" s="1"/>
  <c r="AD34" i="6" l="1"/>
  <c r="H62" i="10"/>
  <c r="D13" i="2" s="1"/>
  <c r="H71" i="10"/>
  <c r="D12" i="2"/>
  <c r="N13" i="15"/>
  <c r="N71" i="10"/>
  <c r="J12" i="2"/>
  <c r="N62" i="10"/>
  <c r="J58" i="13" l="1"/>
  <c r="J59" i="13" s="1"/>
  <c r="J13" i="2"/>
  <c r="AD35" i="6"/>
  <c r="AD52" i="9" l="1"/>
  <c r="AD56" i="9" s="1"/>
  <c r="AD10" i="8"/>
  <c r="AD14" i="8" s="1"/>
  <c r="AD36" i="6"/>
  <c r="AD25" i="8" l="1"/>
  <c r="AD27" i="8" s="1"/>
  <c r="AD32" i="8"/>
  <c r="AE51" i="9"/>
  <c r="AD29" i="7"/>
  <c r="AD30" i="7" s="1"/>
  <c r="AD34" i="8" l="1"/>
  <c r="AD35" i="8"/>
  <c r="Y72" i="2"/>
  <c r="AE26" i="8"/>
  <c r="AD10" i="7"/>
  <c r="AD29" i="8" l="1"/>
  <c r="AD30" i="8" s="1"/>
  <c r="AE48" i="9"/>
  <c r="AD16" i="7"/>
  <c r="AD21" i="7" s="1"/>
  <c r="AD32" i="7" s="1"/>
  <c r="AE31" i="6"/>
  <c r="AE33" i="6" l="1"/>
  <c r="AE34" i="6" l="1"/>
  <c r="AE35" i="6" l="1"/>
  <c r="AE52" i="9" l="1"/>
  <c r="AE56" i="9" s="1"/>
  <c r="AE10" i="8"/>
  <c r="AE14" i="8" s="1"/>
  <c r="AE36" i="6"/>
  <c r="AE32" i="8" l="1"/>
  <c r="AE25" i="8"/>
  <c r="AE27" i="8" s="1"/>
  <c r="AF51" i="9"/>
  <c r="AE29" i="7"/>
  <c r="AE30" i="7" s="1"/>
  <c r="AE10" i="7" l="1"/>
  <c r="AF26" i="8"/>
  <c r="AE34" i="8"/>
  <c r="AE35" i="8"/>
  <c r="Z72" i="2"/>
  <c r="AF48" i="9" l="1"/>
  <c r="AE16" i="7"/>
  <c r="AE21" i="7" s="1"/>
  <c r="AE32" i="7" s="1"/>
  <c r="AE29" i="8"/>
  <c r="AE30" i="8" s="1"/>
  <c r="AF31" i="6"/>
  <c r="AF33" i="6" l="1"/>
  <c r="AF34" i="6" l="1"/>
  <c r="AF35" i="6" s="1"/>
  <c r="AF52" i="9" l="1"/>
  <c r="AF56" i="9" s="1"/>
  <c r="AF10" i="8"/>
  <c r="AF14" i="8" s="1"/>
  <c r="AF36" i="6"/>
  <c r="AF32" i="8" l="1"/>
  <c r="AF25" i="8"/>
  <c r="AF27" i="8" s="1"/>
  <c r="AG51" i="9"/>
  <c r="AF29" i="7"/>
  <c r="AF30" i="7" s="1"/>
  <c r="AF10" i="7" l="1"/>
  <c r="AG26" i="8"/>
  <c r="AF34" i="8"/>
  <c r="AF35" i="8"/>
  <c r="AA72" i="2"/>
  <c r="AF29" i="8" l="1"/>
  <c r="AF30" i="8" s="1"/>
  <c r="AG48" i="9"/>
  <c r="AF16" i="7"/>
  <c r="AF21" i="7" s="1"/>
  <c r="AF32" i="7" s="1"/>
  <c r="AG31" i="6"/>
  <c r="AG33" i="6" l="1"/>
  <c r="M58" i="10"/>
  <c r="M73" i="10" s="1"/>
  <c r="AG34" i="6" l="1"/>
  <c r="AG35" i="6" s="1"/>
  <c r="AG52" i="9" l="1"/>
  <c r="AG56" i="9" s="1"/>
  <c r="AG10" i="8"/>
  <c r="AG14" i="8" s="1"/>
  <c r="AG36" i="6"/>
  <c r="M54" i="10"/>
  <c r="I14" i="2" s="1"/>
  <c r="AG32" i="8" l="1"/>
  <c r="AG25" i="8"/>
  <c r="AG27" i="8" s="1"/>
  <c r="M64" i="10"/>
  <c r="M66" i="10" s="1"/>
  <c r="AG29" i="7"/>
  <c r="AH51" i="9"/>
  <c r="M88" i="10" l="1"/>
  <c r="AG30" i="7"/>
  <c r="AG10" i="7"/>
  <c r="AH26" i="8"/>
  <c r="M13" i="15"/>
  <c r="M67" i="10"/>
  <c r="I15" i="2"/>
  <c r="AG34" i="8"/>
  <c r="AG35" i="8"/>
  <c r="AB72" i="2"/>
  <c r="AG29" i="8" l="1"/>
  <c r="AG30" i="8" s="1"/>
  <c r="AG16" i="7"/>
  <c r="AG21" i="7" s="1"/>
  <c r="AH31" i="6"/>
  <c r="AH48" i="9"/>
  <c r="M82" i="10"/>
  <c r="M84" i="10" s="1"/>
  <c r="I16" i="2" s="1"/>
  <c r="AG32" i="7" l="1"/>
  <c r="M85" i="10"/>
  <c r="M89" i="10" s="1"/>
  <c r="AH33" i="6"/>
  <c r="AH34" i="6" l="1"/>
  <c r="AH35" i="6" s="1"/>
  <c r="AH52" i="9" l="1"/>
  <c r="AH56" i="9" s="1"/>
  <c r="AH10" i="8"/>
  <c r="AH14" i="8" s="1"/>
  <c r="AH36" i="6"/>
  <c r="AH25" i="8" l="1"/>
  <c r="AH27" i="8" s="1"/>
  <c r="AH32" i="8"/>
  <c r="AI51" i="9"/>
  <c r="AH29" i="7"/>
  <c r="AH30" i="7" s="1"/>
  <c r="AH35" i="8" l="1"/>
  <c r="AH34" i="8"/>
  <c r="AC72" i="2"/>
  <c r="AI26" i="8"/>
  <c r="AH10" i="7"/>
  <c r="AI48" i="9" l="1"/>
  <c r="AI31" i="6"/>
  <c r="AH16" i="7"/>
  <c r="AH21" i="7" s="1"/>
  <c r="AH32" i="7" s="1"/>
  <c r="AH29" i="8"/>
  <c r="AH30" i="8" s="1"/>
  <c r="AI33" i="6" l="1"/>
  <c r="AI34" i="6" l="1"/>
  <c r="AI35" i="6" s="1"/>
  <c r="AI52" i="9" l="1"/>
  <c r="AI56" i="9" s="1"/>
  <c r="AI36" i="6"/>
  <c r="AI10" i="8"/>
  <c r="AI14" i="8" s="1"/>
  <c r="AI32" i="8" l="1"/>
  <c r="AI25" i="8"/>
  <c r="AI27" i="8" s="1"/>
  <c r="AJ51" i="9"/>
  <c r="AI29" i="7"/>
  <c r="AI30" i="7" s="1"/>
  <c r="AJ26" i="8" l="1"/>
  <c r="AI10" i="7"/>
  <c r="AI34" i="8"/>
  <c r="AD72" i="2"/>
  <c r="AI35" i="8"/>
  <c r="AJ48" i="9" l="1"/>
  <c r="AI16" i="7"/>
  <c r="AI21" i="7" s="1"/>
  <c r="AI32" i="7" s="1"/>
  <c r="AJ31" i="6"/>
  <c r="AI29" i="8"/>
  <c r="AI30" i="8" s="1"/>
  <c r="AJ33" i="6" l="1"/>
  <c r="AJ34" i="6" l="1"/>
  <c r="AJ35" i="6" s="1"/>
  <c r="AJ52" i="9" l="1"/>
  <c r="AJ56" i="9" s="1"/>
  <c r="AJ36" i="6"/>
  <c r="AJ10" i="8"/>
  <c r="AJ14" i="8" s="1"/>
  <c r="AJ32" i="8" l="1"/>
  <c r="AJ25" i="8"/>
  <c r="AJ27" i="8" s="1"/>
  <c r="AK51" i="9"/>
  <c r="AJ29" i="7"/>
  <c r="AJ30" i="7" s="1"/>
  <c r="AK26" i="8" l="1"/>
  <c r="AJ10" i="7"/>
  <c r="AJ34" i="8"/>
  <c r="AE72" i="2"/>
  <c r="AJ35" i="8"/>
  <c r="AJ16" i="7" l="1"/>
  <c r="AJ21" i="7" s="1"/>
  <c r="AJ32" i="7" s="1"/>
  <c r="AJ29" i="8"/>
  <c r="AJ30" i="8" s="1"/>
  <c r="AK48" i="9"/>
  <c r="AK31" i="6"/>
  <c r="G58" i="10" l="1"/>
  <c r="G73" i="10" s="1"/>
  <c r="H58" i="10"/>
  <c r="H73" i="10" s="1"/>
  <c r="H79" i="10" s="1"/>
  <c r="AK33" i="6"/>
  <c r="N58" i="10"/>
  <c r="N73" i="10" s="1"/>
  <c r="AK34" i="6" l="1"/>
  <c r="G60" i="10" l="1"/>
  <c r="G75" i="10" s="1"/>
  <c r="G79" i="10" s="1"/>
  <c r="G80" i="10" s="1"/>
  <c r="L60" i="10"/>
  <c r="L75" i="10" s="1"/>
  <c r="L79" i="10" s="1"/>
  <c r="L80" i="10" s="1"/>
  <c r="M60" i="10"/>
  <c r="M75" i="10" s="1"/>
  <c r="M79" i="10" s="1"/>
  <c r="M80" i="10" s="1"/>
  <c r="N60" i="10"/>
  <c r="N75" i="10" s="1"/>
  <c r="N79" i="10" s="1"/>
  <c r="AK35" i="6"/>
  <c r="AK10" i="8" l="1"/>
  <c r="AK14" i="8" s="1"/>
  <c r="AK36" i="6"/>
  <c r="AK52" i="9"/>
  <c r="AK56" i="9" s="1"/>
  <c r="AK29" i="7" s="1"/>
  <c r="N54" i="10"/>
  <c r="J14" i="2" l="1"/>
  <c r="N88" i="10"/>
  <c r="AK30" i="7"/>
  <c r="AK25" i="8"/>
  <c r="AK27" i="8" s="1"/>
  <c r="AK32" i="8"/>
  <c r="H64" i="10"/>
  <c r="N64" i="10"/>
  <c r="N66" i="10" s="1"/>
  <c r="AK10" i="7" l="1"/>
  <c r="O13" i="15"/>
  <c r="N67" i="10"/>
  <c r="J15" i="2"/>
  <c r="N80" i="10"/>
  <c r="AK35" i="8"/>
  <c r="AK34" i="8"/>
  <c r="AF72" i="2"/>
  <c r="H94" i="10"/>
  <c r="E17" i="16" s="1"/>
  <c r="G17" i="16" s="1"/>
  <c r="H66" i="10"/>
  <c r="H67" i="10" l="1"/>
  <c r="D15" i="2"/>
  <c r="H80" i="10"/>
  <c r="E26" i="16" s="1"/>
  <c r="G26" i="16" s="1"/>
  <c r="AK29" i="8"/>
  <c r="AK30" i="8" s="1"/>
  <c r="E10" i="16" s="1"/>
  <c r="G10" i="16" s="1"/>
  <c r="AK16" i="7"/>
  <c r="AK21" i="7" s="1"/>
  <c r="N82" i="10"/>
  <c r="N84" i="10" s="1"/>
  <c r="J16" i="2" s="1"/>
  <c r="AK32" i="7" l="1"/>
  <c r="E5" i="16" s="1"/>
  <c r="G5" i="16" s="1"/>
  <c r="G85" i="10"/>
  <c r="G89" i="10" s="1"/>
  <c r="N85" i="10"/>
  <c r="N89" i="10" s="1"/>
  <c r="E19" i="16" s="1"/>
  <c r="G19" i="16" s="1"/>
  <c r="E6" i="16" l="1"/>
  <c r="G6" i="16" s="1"/>
  <c r="G29" i="16" s="1"/>
  <c r="C10" i="1" l="1"/>
  <c r="A2" i="2"/>
</calcChain>
</file>

<file path=xl/sharedStrings.xml><?xml version="1.0" encoding="utf-8"?>
<sst xmlns="http://schemas.openxmlformats.org/spreadsheetml/2006/main" count="18634" uniqueCount="2514">
  <si>
    <t>Toast, Inc. (NYSE: TOST)</t>
  </si>
  <si>
    <t>Driver-based quarterly operating model built from SEC filings</t>
  </si>
  <si>
    <t>Prepared by</t>
  </si>
  <si>
    <t>Guowei (Gary) Wu - independent study from public filings; not affiliated with Toast; not investment advice.</t>
  </si>
  <si>
    <t>How this was built</t>
  </si>
  <si>
    <t>I built it with an AI agent system I run — it wrote the pipeline and the workbook to my brief, and a separate check re-derives its figures from the source data.</t>
  </si>
  <si>
    <t>Question it answers</t>
  </si>
  <si>
    <t>How much recurring gross profit, Adjusted EBITDA and free cash flow can Toast produce through FY2029, and which drivers move it most?</t>
  </si>
  <si>
    <t>Data</t>
  </si>
  <si>
    <t>SEC EDGAR: XBRL company facts and each filing's XBRL instance (10-K / 10-Q), plus the 8-K earnings releases (EX-99.1) for metrics that are not tagged (locations, GPV, ARR, Adjusted EBITDA, non-GAAP expense lines, outlook). One outside series, BLS CPI food away from home, is used only to put GPV per location in real terms.</t>
  </si>
  <si>
    <t>History</t>
  </si>
  <si>
    <t>19 quarters (Q4'21 - Q2'26) and 6 fiscal years (FY2020 - FY2025). Every typed historical number sits on the Sources sheet with its XBRL tag, period, accession number and URL.</t>
  </si>
  <si>
    <t>Forecast</t>
  </si>
  <si>
    <t>14 quarters (Q3'26 - Q4'29), rolled up to FY2026E - FY2029E (three full years after the current one). Bear / Base / Bull switch: Inputs!E5 (named Scenario).</t>
  </si>
  <si>
    <t>Status</t>
  </si>
  <si>
    <t>Units</t>
  </si>
  <si>
    <t>$ in millions unless a row's unit column says otherwise. Periods marked A (actual) or F (forecast) in every header.</t>
  </si>
  <si>
    <t>Colour code</t>
  </si>
  <si>
    <t>Blue = typed input or reported number. Black = formula on the same sheet. Green = formula linking another sheet. Yellow fill = an input you are meant to change.</t>
  </si>
  <si>
    <t>Sheet</t>
  </si>
  <si>
    <t>What it does</t>
  </si>
  <si>
    <t>Summary</t>
  </si>
  <si>
    <t>Key outputs FY2023A - FY2029E, where the money comes from and goes, scenario comparison, charts.</t>
  </si>
  <si>
    <t>Inputs</t>
  </si>
  <si>
    <t>Scenario switch, settings, unit constants and every forecast driver (Bear / Base / Bull by year) with the last-4-quarter actual beside it.</t>
  </si>
  <si>
    <t>Drivers</t>
  </si>
  <si>
    <t>Quarterly timeline and the live driver strip for the active scenario (net-add seasonality from 2023-25 history).</t>
  </si>
  <si>
    <t>Rev_Build</t>
  </si>
  <si>
    <t>Locations -&gt; subscription revenue per location; GPV per location x take rate -&gt; fintech revenue; GPV x cost per $ of GPV -&gt; fintech cost; hardware per net add; recurring gross profit.</t>
  </si>
  <si>
    <t>IS / BS / CF</t>
  </si>
  <si>
    <t>Three linked statements, quarterly. Operating expenses are forecast on Toast's non-GAAP basis (S&amp;M = service cost x average locations + net adds x cost to win one; R&amp;D and G&amp;A by growth); stock comp and D&amp;A are added back for GAAP.</t>
  </si>
  <si>
    <t>Schedules</t>
  </si>
  <si>
    <t>Working capital (DSO, DIO, DPO, deferred revenue), PP&amp;E and intangibles, securities and interest, equity roll-forward.</t>
  </si>
  <si>
    <t>Annual</t>
  </si>
  <si>
    <t>Fiscal-year roll-up, GPV per location in real terms, non-GAAP expense lines, EBITDA-to-free-cash-flow bridge, tie-out to the 10-K.</t>
  </si>
  <si>
    <t>Unit_Econ</t>
  </si>
  <si>
    <t>Non-GAAP recurring gross profit per location vs acquisition cost per net new location; payback months; net adds per extra $100m of S&amp;M.</t>
  </si>
  <si>
    <t>Bridge</t>
  </si>
  <si>
    <t>Revenue change split into locations, revenue per location, GPV per location, take rate and hardware.</t>
  </si>
  <si>
    <t>Guidance</t>
  </si>
  <si>
    <t>Model vs the latest outlook, the implied Q4'26, and every full-year and quarterly Adjusted EBITDA outlook since 2023 against what was delivered.</t>
  </si>
  <si>
    <t>Backtest</t>
  </si>
  <si>
    <t>The method frozen at Q2'25 with mechanical inputs, compared with H2'25 actuals; the Adjusted EBITDA miss split by driver; Toast's own outlook alongside.</t>
  </si>
  <si>
    <t>Sensitivity</t>
  </si>
  <si>
    <t>Data tables: scenario comparison; FY27 Adj. EBITDA vs net adds x pricing; FY27 Adj. EBITDA vs GPV per location growth x fintech cost per $ of GPV.</t>
  </si>
  <si>
    <t>Checks</t>
  </si>
  <si>
    <t>Balance sheet, cash, tie-outs to reported totals, Adjusted EBITDA two ways, bridges, error scan. Must read ALL OK.</t>
  </si>
  <si>
    <t>Hist_Q / Hist_A</t>
  </si>
  <si>
    <t>Historical statements as SUMIFS lookups into Sources (no typed numbers).</t>
  </si>
  <si>
    <t>Sources</t>
  </si>
  <si>
    <t>The ledger: every historical number with tag, period, accession and URL.</t>
  </si>
  <si>
    <t>Method notes</t>
  </si>
  <si>
    <t>Q4 income-statement figures = fiscal year (10-K) minus nine-month YTD (Q3 10-Q). Cash-flow quarters = differences of year-to-date figures.</t>
  </si>
  <si>
    <t>Hardware &amp; professional services revenue and cost are derived as total minus the two tagged lines, which keeps the series consistent across Toast's 2023 change in presentation.</t>
  </si>
  <si>
    <t>Locations are disclosed rounded ('approximately 180,000'), so per-location metrics carry roughly +/-1% noise; net adds per quarter carry more.</t>
  </si>
  <si>
    <t>Forecast cash comes from the cash flow statement (ending cash less restricted cash). The balance sheet is not forced: assets minus liabilities and equity is a check, and so is CF cash vs BS cash.</t>
  </si>
  <si>
    <t>Adjusted EBITDA is built from non-GAAP lines (recurring gross profit + hardware gross profit - non-GAAP operating expenses). Stock comp, D&amp;A and payroll tax on equity are added back into GAAP expenses, so they move net income but not Adjusted EBITDA.</t>
  </si>
  <si>
    <t>Reported D&amp;A fell from $35m in H1'25 to $22m in H1'26 under the same XBRL tag (DepreciationDepletionAndAmortization). The drop sits in cost of revenue (D&amp;A in recurring cost of revenue $29m -&gt; $13m per the company's reconciliation), mostly capitalized-software amortization; the filings do not give a reason.</t>
  </si>
  <si>
    <t>Interest income uses opening balances, so the model has no circular references.</t>
  </si>
  <si>
    <t>Sales &amp; marketing is booked in the same quarter as the net adds it buys; in practice spend comes a quarter or two before a location goes live, so quarterly timing is approximate (annual totals are not affected much).</t>
  </si>
  <si>
    <t>Toast's margin targets (Guidance sheet, section 5) come from its earnings-call prepared remarks on the investor-relations site, not from SEC filings; each quote is on Sources with its URL.</t>
  </si>
  <si>
    <t>Toast, Inc. (NYSE: TOST) - operating model summary</t>
  </si>
  <si>
    <t>Key outputs</t>
  </si>
  <si>
    <t>Unit</t>
  </si>
  <si>
    <t>Locations, end of year</t>
  </si>
  <si>
    <t>count</t>
  </si>
  <si>
    <t>Net new locations</t>
  </si>
  <si>
    <t>Gross payment volume</t>
  </si>
  <si>
    <t>$bn</t>
  </si>
  <si>
    <t>Total revenue</t>
  </si>
  <si>
    <t>$m</t>
  </si>
  <si>
    <t>Recurring gross profit (non-GAAP)</t>
  </si>
  <si>
    <t xml:space="preserve">  growth</t>
  </si>
  <si>
    <t>%</t>
  </si>
  <si>
    <t>Non-GAAP operating expenses, % of non-GAAP recurring gross profit</t>
  </si>
  <si>
    <t>Adjusted EBITDA</t>
  </si>
  <si>
    <t xml:space="preserve">  % of non-GAAP recurring gross profit</t>
  </si>
  <si>
    <t>Net income</t>
  </si>
  <si>
    <t>Free cash flow</t>
  </si>
  <si>
    <t>Cash + marketable securities, year end</t>
  </si>
  <si>
    <t>Where the money comes from and where it goes (FY2025A)</t>
  </si>
  <si>
    <t>Scenario comparison (from Sensitivity data table)</t>
  </si>
  <si>
    <t>FY26E non-GAAP RGP</t>
  </si>
  <si>
    <t>FY26E Adj. EBITDA</t>
  </si>
  <si>
    <t>FY27E revenue</t>
  </si>
  <si>
    <t>FY27E non-GAAP RGP</t>
  </si>
  <si>
    <t>FY27E Adj. EBITDA</t>
  </si>
  <si>
    <t>FY27E free cash flow</t>
  </si>
  <si>
    <t>Bear</t>
  </si>
  <si>
    <t>Base</t>
  </si>
  <si>
    <t>Bull</t>
  </si>
  <si>
    <t>Chart data: quarterly</t>
  </si>
  <si>
    <t>Period</t>
  </si>
  <si>
    <t>Recurring gross profit, non-GAAP ($m)</t>
  </si>
  <si>
    <t>Adjusted EBITDA ($m)</t>
  </si>
  <si>
    <t>Free cash flow ($m)</t>
  </si>
  <si>
    <t>Chart data: annual gross profit</t>
  </si>
  <si>
    <t>Fiscal year</t>
  </si>
  <si>
    <t>Subscription gross profit</t>
  </si>
  <si>
    <t>Fintech gross profit</t>
  </si>
  <si>
    <t>Hardware &amp; services gross profit</t>
  </si>
  <si>
    <t>Inputs &amp; scenario drivers</t>
  </si>
  <si>
    <t>Blue = typed input. Pick the scenario in E5. Every forecast driver lives on this sheet.</t>
  </si>
  <si>
    <t>Model settings</t>
  </si>
  <si>
    <t>Scenario</t>
  </si>
  <si>
    <t>Active scenario (1 = Bear, 2 = Base, 3 = Bull)</t>
  </si>
  <si>
    <t>switch</t>
  </si>
  <si>
    <t>FirstPeriodEnd</t>
  </si>
  <si>
    <t>First quarterly column (period end)</t>
  </si>
  <si>
    <t>date</t>
  </si>
  <si>
    <t>LastActualEnd</t>
  </si>
  <si>
    <t>Last reported quarter (period end)</t>
  </si>
  <si>
    <t>FirstForecastYear</t>
  </si>
  <si>
    <t>First forecast fiscal year</t>
  </si>
  <si>
    <t>year</t>
  </si>
  <si>
    <t>ForecastYears</t>
  </si>
  <si>
    <t>Forecast years in driver tables</t>
  </si>
  <si>
    <t>SeasFrom</t>
  </si>
  <si>
    <t>Net-add seasonality: first year averaged</t>
  </si>
  <si>
    <t>SeasTo</t>
  </si>
  <si>
    <t>Net-add seasonality: last year averaged</t>
  </si>
  <si>
    <t>PaybackYears</t>
  </si>
  <si>
    <t>Payback evaluation horizon for unit economics</t>
  </si>
  <si>
    <t>years</t>
  </si>
  <si>
    <t>SMWhatIf</t>
  </si>
  <si>
    <t>Unit economics what-if: extra sales &amp; marketing spend</t>
  </si>
  <si>
    <t>FXEffect</t>
  </si>
  <si>
    <t>Exchange-rate effect on cash in forecast</t>
  </si>
  <si>
    <t>$m / qtr</t>
  </si>
  <si>
    <t>TolExact</t>
  </si>
  <si>
    <t>Check tolerance: exact identities</t>
  </si>
  <si>
    <t>TolRounding</t>
  </si>
  <si>
    <t>Check tolerance: figures rounded to $1m in filings</t>
  </si>
  <si>
    <t>TolRecon</t>
  </si>
  <si>
    <t>Check tolerance: Adjusted EBITDA rebuilt from six rounded non-GAAP lines</t>
  </si>
  <si>
    <t>ScenarioName</t>
  </si>
  <si>
    <t>Active scenario name</t>
  </si>
  <si>
    <t>ScenarioActive</t>
  </si>
  <si>
    <t>Scenario used by the model (Sensitivity!ScenarioOverride wins when &gt; 0)</t>
  </si>
  <si>
    <t>Constants (unit conversions; not assumptions - never change)</t>
  </si>
  <si>
    <t>MonthsPerQuarter</t>
  </si>
  <si>
    <t>Months per quarter</t>
  </si>
  <si>
    <t>QuartersPerYear</t>
  </si>
  <si>
    <t>Quarters per year</t>
  </si>
  <si>
    <t>Mn</t>
  </si>
  <si>
    <t>One million</t>
  </si>
  <si>
    <t>units</t>
  </si>
  <si>
    <t>Thousand</t>
  </si>
  <si>
    <t>One thousand</t>
  </si>
  <si>
    <t>MnPerBn</t>
  </si>
  <si>
    <t>Millions per billion</t>
  </si>
  <si>
    <t>BpsPerUnit</t>
  </si>
  <si>
    <t>Basis points per 1.00</t>
  </si>
  <si>
    <t>Scenario drivers (forecast years)</t>
  </si>
  <si>
    <t>Why this range</t>
  </si>
  <si>
    <t>Driver</t>
  </si>
  <si>
    <t>Last 4 qtrs actual</t>
  </si>
  <si>
    <t>Bear FY26E (H2)</t>
  </si>
  <si>
    <t>Bear FY27E</t>
  </si>
  <si>
    <t>Bear FY28E</t>
  </si>
  <si>
    <t>Bear FY29E</t>
  </si>
  <si>
    <t>Base FY26E (H2)</t>
  </si>
  <si>
    <t>Base FY27E</t>
  </si>
  <si>
    <t>Base FY28E</t>
  </si>
  <si>
    <t>Base FY29E</t>
  </si>
  <si>
    <t>Bull FY26E (H2)</t>
  </si>
  <si>
    <t>Bull FY27E</t>
  </si>
  <si>
    <t>Bull FY28E</t>
  </si>
  <si>
    <t>Bull FY29E</t>
  </si>
  <si>
    <t>in_adds</t>
  </si>
  <si>
    <t>Net new locations per quarter (before seasonality)</t>
  </si>
  <si>
    <t>Last 4 quarters averaged 8,000 a quarter (column E); H1'26 added 16,000 vs 14,000 in H1'25. Base runs at 8,250-8,500. Bear: churn rises in a restaurant recession, so net adds fall to 5,000 while selling continues (see the extra-churn row); Bull is about 20% above Base.</t>
  </si>
  <si>
    <t>in_churn</t>
  </si>
  <si>
    <t>Extra locations lost to churn per quarter, above normal (sold and installed, but net adds fall)</t>
  </si>
  <si>
    <t>Toast reports net adds only. Bear: a restaurant recession closes more customers, so Toast keeps selling and installing about as many locations as in Base, but net adds fall. Hardware cost and the spend to win follow locations sold (net adds + this), not net adds.</t>
  </si>
  <si>
    <t>in_arpug</t>
  </si>
  <si>
    <t>Subscription revenue per location, YoY growth</t>
  </si>
  <si>
    <t>Slowed from about 10% (through Q2'25) to 4.8% in Q2'26 (column E). Base fades it slowly; Bear cuts it to 1%; Bull assumes new modules (AI, Toast IQ) re-accelerate it.</t>
  </si>
  <si>
    <t>in_gpvg</t>
  </si>
  <si>
    <t>GPV per location, YoY growth</t>
  </si>
  <si>
    <t>About flat in Q2'26 (column E) after falling 1-4% a year in 2023-25. Bear = a restaurant recession: -8% in FY27; Bull = menu-price inflation and bigger enterprise sites.</t>
  </si>
  <si>
    <t>in_take</t>
  </si>
  <si>
    <t>Fintech take rate (revenue / GPV), YoY change - pricing</t>
  </si>
  <si>
    <t>bps</t>
  </si>
  <si>
    <t>Up 2.9 bps year over year in Q2'26 (column E) and up in each of the last 8 quarters. This row is price only; the cost row below moves separately. Bear = larger customers negotiate it down.</t>
  </si>
  <si>
    <t>in_fincost</t>
  </si>
  <si>
    <t>Fintech cost of revenue per $ of GPV, YoY change</t>
  </si>
  <si>
    <t>Interchange, processing and Toast Capital credit losses: about 195-202 bps of GPV by season since 2022, up 0.7 bps year over year in Q2'26 (column E). Bear = Toast Capital credit losses add 5 bps in FY27.</t>
  </si>
  <si>
    <t>in_gm_sub</t>
  </si>
  <si>
    <t>Subscription gross margin (GAAP)</t>
  </si>
  <si>
    <t>75.6% over the last 4 quarters (column E), but 77.6% and 77.9% in Q1 and Q2'26 after D&amp;A in cost of revenue fell. Base starts at 77.5%; Bear gives part of it back (hosting, AI inference costs).</t>
  </si>
  <si>
    <t>in_cpa</t>
  </si>
  <si>
    <t>Non-GAAP sales &amp; marketing to win new locations, per location sold (net adds, plus extra churn in Bear)</t>
  </si>
  <si>
    <t>$k</t>
  </si>
  <si>
    <t>S&amp;M is split in two: serving existing locations (in_svc x average locations) and winning new ones (this x locations sold = net adds + extra churn). With the $2.0k service cost, the winning part was $5.6k (FY23), $6.1k (FY24), $7.1k (FY25) per net add and $7.3k over the last 4 quarters (column E): about +$0.7k a year. Base keeps that pace; Bear sells as much as Base at a slightly higher cost in a recession.</t>
  </si>
  <si>
    <t>in_rdg</t>
  </si>
  <si>
    <t>Non-GAAP research &amp; development, YoY growth</t>
  </si>
  <si>
    <t>Grew 15% in the last 4 quarters vs the 4 before (column E) and 22% in H1'26 (AI product build). Toast says it reinvests upside in new markets, so Base keeps it at 15-18% through FY27 and 12-13% after; Bear cuts it to about 5%.</t>
  </si>
  <si>
    <t>in_gag</t>
  </si>
  <si>
    <t>Non-GAAP general &amp; administrative, YoY growth</t>
  </si>
  <si>
    <t>Grew 19% in the last 4 quarters vs the 4 before (column E), 14% in H1'26. Base runs 12-13% then 10-11% (international entities, public-company costs); Bear holds it near inflation.</t>
  </si>
  <si>
    <t>Operating drivers that do not change by scenario</t>
  </si>
  <si>
    <t>FY26E (H2)</t>
  </si>
  <si>
    <t>FY27E</t>
  </si>
  <si>
    <t>FY28E</t>
  </si>
  <si>
    <t>FY29E</t>
  </si>
  <si>
    <t>in_svc</t>
  </si>
  <si>
    <t>Non-GAAP sales &amp; marketing serving existing locations, per average location per year</t>
  </si>
  <si>
    <t>Assumption; Toast does not split S&amp;M. $2.0k was picked so the model's payback lands near Toast's own figures (core 14 months, portfolio mid-teens), which are not like for like (Toast: all S&amp;M two months before go-live plus the hardware loss, against the cohort's contribution profit, upsells included). The FY23-25 fit (Unit_Econ) gives $2.9k, i.e. about $2.4k to win a location and an 8-9 month payback; three points, unstable. Range and effects: Unit_Econ and README. Same in every scenario.</t>
  </si>
  <si>
    <t>in_hps_rev</t>
  </si>
  <si>
    <t>Hardware &amp; services revenue per location sold (net adds, plus extra churn in Bear)</t>
  </si>
  <si>
    <t>About $5-8k per net add since 2022; column E is the last 4 quarters.</t>
  </si>
  <si>
    <t>in_hps_cost</t>
  </si>
  <si>
    <t>Hardware &amp; services cost per location sold (net adds, plus extra churn in Bear)</t>
  </si>
  <si>
    <t>About $12-16k per net add since 2022 (devices, installation, onboarding staff); column E is the last 4 quarters.</t>
  </si>
  <si>
    <t>in_hpsadd</t>
  </si>
  <si>
    <t>Non-GAAP add-back in hardware &amp; services cost (SBC, D&amp;A)</t>
  </si>
  <si>
    <t>From the company's hardware gross profit reconciliation; held at the last-4-quarter average (column E).</t>
  </si>
  <si>
    <t>in_amort</t>
  </si>
  <si>
    <t>Amortization of acquired intangibles (in cost of revenue)</t>
  </si>
  <si>
    <t>About $1-1.5m a quarter since 2022 (column E: last-4-quarter average).</t>
  </si>
  <si>
    <t>in_ngadd</t>
  </si>
  <si>
    <t>Non-GAAP add-backs in recurring cost of revenue (SBC, D&amp;A)</t>
  </si>
  <si>
    <t>Q2'26 shown in column E ($10m), down from $17m a year earlier because amortization of capitalized software in cost of revenue fell (see Cover, method notes).</t>
  </si>
  <si>
    <t>in_sbc</t>
  </si>
  <si>
    <t>Stock-based compensation, % of recurring gross profit (GAAP)</t>
  </si>
  <si>
    <t>About 11% over the last 4 quarters (column E), down every year since 2022. Affects GAAP profit only: Adjusted EBITDA is built from non-GAAP lines and does not move with this input.</t>
  </si>
  <si>
    <t>in_otheradj</t>
  </si>
  <si>
    <t>Other items excluded from Adjusted EBITDA (payroll tax on equity, other)</t>
  </si>
  <si>
    <t>Reconciling items between GAAP operating income and Adjusted EBITDA, held at the last-4-quarter average (column E); GAAP profit only.</t>
  </si>
  <si>
    <t>in_restr</t>
  </si>
  <si>
    <t>Restructuring expense</t>
  </si>
  <si>
    <t>About $1m a quarter over the last 4 quarters (column E); none assumed (not predictable). GAAP profit only.</t>
  </si>
  <si>
    <t>in_othinc</t>
  </si>
  <si>
    <t>Other non-operating income (warrant revaluation etc.)</t>
  </si>
  <si>
    <t>Not forecast: non-cash and not predictable.</t>
  </si>
  <si>
    <t>in_yield</t>
  </si>
  <si>
    <t>Interest yield on cash + marketable securities (annual)</t>
  </si>
  <si>
    <t>Column E is the last 4 quarters; assumed to drift down with short-term rates.</t>
  </si>
  <si>
    <t>in_etr</t>
  </si>
  <si>
    <t>Effective tax rate</t>
  </si>
  <si>
    <t>Low in history (column E) because of loss carryforwards; assumed to drift up as they are used.</t>
  </si>
  <si>
    <t>in_capex</t>
  </si>
  <si>
    <t>Capital expenditures, % of revenue</t>
  </si>
  <si>
    <t>Close to the last-4-quarter level (column E).</t>
  </si>
  <si>
    <t>in_dep</t>
  </si>
  <si>
    <t>Depreciation, % of opening PP&amp;E per quarter</t>
  </si>
  <si>
    <t>Column E averages 10.7%, which includes 12.5-14% in H2'25; Q1 and Q2'26 were 6.8% and 9.7%, so the forecast uses 9.5%. GAAP profit only.</t>
  </si>
  <si>
    <t>in_buyback</t>
  </si>
  <si>
    <t>Share repurchases</t>
  </si>
  <si>
    <t>$486m bought back in H1'26 (Q2'26 release); assumed to slow to a steady pace.</t>
  </si>
  <si>
    <t>in_secbuy</t>
  </si>
  <si>
    <t>Net purchases of marketable securities</t>
  </si>
  <si>
    <t>Held flat.</t>
  </si>
  <si>
    <t>in_othfin</t>
  </si>
  <si>
    <t>Other financing flows (option exercises net of tax withholding)</t>
  </si>
  <si>
    <t>Not forecast; history on the CF sheet.</t>
  </si>
  <si>
    <t>in_dso</t>
  </si>
  <si>
    <t>Accounts receivable, days of revenue (DSO)</t>
  </si>
  <si>
    <t>days</t>
  </si>
  <si>
    <t>At the recent level (column E).</t>
  </si>
  <si>
    <t>in_dio</t>
  </si>
  <si>
    <t>Inventory, days of hardware &amp; services cost (DIO)</t>
  </si>
  <si>
    <t>170 days in Q2'26 after an inventory build (column E, the last-4-quarter average, is 119; 2025 ran 93-107). Assumed to glide back to 110, which releases cash in FY27-28.</t>
  </si>
  <si>
    <t>in_dpo</t>
  </si>
  <si>
    <t>Accounts payable, days of cost of revenue (DPO)</t>
  </si>
  <si>
    <t>in_defrev</t>
  </si>
  <si>
    <t>Deferred revenue, % of quarterly subscription revenue</t>
  </si>
  <si>
    <t>in_oca</t>
  </si>
  <si>
    <t>Other current assets (ex restricted cash), % of quarterly revenue</t>
  </si>
  <si>
    <t>19.0% in Q2'26 (column E averages 17.4%); held at the Q2'26 level so the forecast does not start with a one-off cash release.</t>
  </si>
  <si>
    <t>in_onca</t>
  </si>
  <si>
    <t>Other non-current assets (capitalized commissions, leases), % of quarterly revenue</t>
  </si>
  <si>
    <t>9.7% in Q2'26 (column E averages 10.2%); held near the Q2'26 ratio.</t>
  </si>
  <si>
    <t>in_accr</t>
  </si>
  <si>
    <t>Accrued &amp; other current liabilities, % of quarterly cost of revenue</t>
  </si>
  <si>
    <t>Held at the Q2'26 level (includes transaction costs that scale with fintech volume).</t>
  </si>
  <si>
    <t>Quarterly driver strip (selected scenario)</t>
  </si>
  <si>
    <t>Formulas only: picks each driver for the active scenario and forecast year from Inputs.</t>
  </si>
  <si>
    <t>hdr_lbl</t>
  </si>
  <si>
    <t>hdr_af</t>
  </si>
  <si>
    <t>Actual / Forecast</t>
  </si>
  <si>
    <t>hdr_fy</t>
  </si>
  <si>
    <t>hdr_q</t>
  </si>
  <si>
    <t>Fiscal quarter</t>
  </si>
  <si>
    <t>hdr_end</t>
  </si>
  <si>
    <t>Period end</t>
  </si>
  <si>
    <t>Days in period</t>
  </si>
  <si>
    <t>yidx</t>
  </si>
  <si>
    <t>Forecast year index (1 = FY26E)</t>
  </si>
  <si>
    <t>index</t>
  </si>
  <si>
    <t>scol</t>
  </si>
  <si>
    <t>Column in scenario table</t>
  </si>
  <si>
    <t>Net-add seasonality (average share of a year's net adds, SeasFrom-SeasTo)</t>
  </si>
  <si>
    <t>seas</t>
  </si>
  <si>
    <t>Seasonality index for net adds (1.00 = average quarter)</t>
  </si>
  <si>
    <t>x</t>
  </si>
  <si>
    <t>Live drivers for the active scenario (forecast columns only)</t>
  </si>
  <si>
    <t>d_adds</t>
  </si>
  <si>
    <t>d_adds_run</t>
  </si>
  <si>
    <t>Locations sold per quarter, run rate (net adds + extra churn, no seasonality) - drives S&amp;M</t>
  </si>
  <si>
    <t>d_churn</t>
  </si>
  <si>
    <t>d_arpug</t>
  </si>
  <si>
    <t>d_gpvg</t>
  </si>
  <si>
    <t>d_take</t>
  </si>
  <si>
    <t>d_fincost</t>
  </si>
  <si>
    <t>d_gm_sub</t>
  </si>
  <si>
    <t>d_cpa</t>
  </si>
  <si>
    <t>d_rdg</t>
  </si>
  <si>
    <t>d_gag</t>
  </si>
  <si>
    <t>d_svc</t>
  </si>
  <si>
    <t>d_hps_rev</t>
  </si>
  <si>
    <t>d_hps_cost</t>
  </si>
  <si>
    <t>d_hpsadd</t>
  </si>
  <si>
    <t>d_amort</t>
  </si>
  <si>
    <t>d_ngadd</t>
  </si>
  <si>
    <t>d_sbc</t>
  </si>
  <si>
    <t>d_otheradj</t>
  </si>
  <si>
    <t>d_restr</t>
  </si>
  <si>
    <t>d_othinc</t>
  </si>
  <si>
    <t>d_yield</t>
  </si>
  <si>
    <t>d_etr</t>
  </si>
  <si>
    <t>d_capex</t>
  </si>
  <si>
    <t>d_dep</t>
  </si>
  <si>
    <t>d_buyback</t>
  </si>
  <si>
    <t>d_secbuy</t>
  </si>
  <si>
    <t>d_othfin</t>
  </si>
  <si>
    <t>d_dso</t>
  </si>
  <si>
    <t>d_dio</t>
  </si>
  <si>
    <t>d_dpo</t>
  </si>
  <si>
    <t>d_defrev</t>
  </si>
  <si>
    <t>d_oca</t>
  </si>
  <si>
    <t>d_onca</t>
  </si>
  <si>
    <t>d_accr</t>
  </si>
  <si>
    <t>Revenue &amp; gross profit build (quarterly)</t>
  </si>
  <si>
    <t>Subscription = locations x revenue per location; Fintech = GPV x take rate; Hardware &amp; services per net add. $ in millions unless stated.</t>
  </si>
  <si>
    <t>Locations</t>
  </si>
  <si>
    <t>loc</t>
  </si>
  <si>
    <t>Locations, end of period</t>
  </si>
  <si>
    <t>adds</t>
  </si>
  <si>
    <t>avgloc</t>
  </si>
  <si>
    <t>Average locations in quarter</t>
  </si>
  <si>
    <t>locg</t>
  </si>
  <si>
    <t>Locations, YoY growth</t>
  </si>
  <si>
    <t>Subscription services</t>
  </si>
  <si>
    <t>arpu</t>
  </si>
  <si>
    <t>Subscription revenue per average location per month</t>
  </si>
  <si>
    <t>$</t>
  </si>
  <si>
    <t>arpug</t>
  </si>
  <si>
    <t>Revenue per location, YoY growth</t>
  </si>
  <si>
    <t>rev_sub</t>
  </si>
  <si>
    <t>Subscription services revenue</t>
  </si>
  <si>
    <t>Financial technology solutions (payments, Toast Capital, payroll)</t>
  </si>
  <si>
    <t>gpvloc</t>
  </si>
  <si>
    <t>GPV per average location</t>
  </si>
  <si>
    <t>$k / qtr</t>
  </si>
  <si>
    <t>gpvlocg</t>
  </si>
  <si>
    <t>cpi_g</t>
  </si>
  <si>
    <t>Restaurant menu prices: CPI food away from home, YoY (BLS; actuals only)</t>
  </si>
  <si>
    <t>gpvlocg_real</t>
  </si>
  <si>
    <t>GPV per location growth after menu-price inflation (actuals only)</t>
  </si>
  <si>
    <t>gpv</t>
  </si>
  <si>
    <t>Gross payment volume (GPV)</t>
  </si>
  <si>
    <t>take_base</t>
  </si>
  <si>
    <t>Take rate before sensitivity shift</t>
  </si>
  <si>
    <t>take</t>
  </si>
  <si>
    <t>Fintech revenue as % of GPV (take rate)</t>
  </si>
  <si>
    <t>takechg</t>
  </si>
  <si>
    <t>Take rate, YoY change</t>
  </si>
  <si>
    <t>rev_fin</t>
  </si>
  <si>
    <t>Financial technology solutions revenue</t>
  </si>
  <si>
    <t>fincost_base</t>
  </si>
  <si>
    <t>Fintech cost of revenue per $ of GPV, before sensitivity shift</t>
  </si>
  <si>
    <t>fincost</t>
  </si>
  <si>
    <t>Fintech cost of revenue per $ of GPV (interchange, processing, credit losses)</t>
  </si>
  <si>
    <t>fincostchg</t>
  </si>
  <si>
    <t>Fintech cost per $ of GPV, YoY change</t>
  </si>
  <si>
    <t>Hardware &amp; professional services</t>
  </si>
  <si>
    <t>hps_rev_add</t>
  </si>
  <si>
    <t>Hardware &amp; services revenue per location sold (history: per net add; forecast adds extra churn in Bear)</t>
  </si>
  <si>
    <t>sold</t>
  </si>
  <si>
    <t>Locations sold and installed (forecast: net adds + extra churn)</t>
  </si>
  <si>
    <t>rev_hps</t>
  </si>
  <si>
    <t>Hardware &amp; professional services revenue</t>
  </si>
  <si>
    <t>rev_total</t>
  </si>
  <si>
    <t>rev_g</t>
  </si>
  <si>
    <t>Total revenue, YoY growth</t>
  </si>
  <si>
    <t>fin_mix</t>
  </si>
  <si>
    <t>Fintech share of revenue</t>
  </si>
  <si>
    <t>Gross profit by line</t>
  </si>
  <si>
    <t>gm_sub</t>
  </si>
  <si>
    <t>Subscription gross margin</t>
  </si>
  <si>
    <t>cogs_sub</t>
  </si>
  <si>
    <t>Cost of revenue - subscription</t>
  </si>
  <si>
    <t>gp_sub</t>
  </si>
  <si>
    <t>cogs_fin</t>
  </si>
  <si>
    <t>Cost of revenue - fintech (= GPV x cost per $ of GPV in forecast)</t>
  </si>
  <si>
    <t>gm_fin</t>
  </si>
  <si>
    <t>Fintech gross margin (result, not an input)</t>
  </si>
  <si>
    <t>gp_fin</t>
  </si>
  <si>
    <t>fin_bps</t>
  </si>
  <si>
    <t>Fintech gross profit as bps of GPV (= take rate - cost per $ of GPV)</t>
  </si>
  <si>
    <t>pay_gp</t>
  </si>
  <si>
    <t>of which payments gross profit (company reported; actuals only)</t>
  </si>
  <si>
    <t>pay_bps</t>
  </si>
  <si>
    <t>Payments gross profit as bps of GPV (actuals only)</t>
  </si>
  <si>
    <t>hps_cost_add</t>
  </si>
  <si>
    <t>Hardware &amp; services cost per location sold (history: per net add; forecast adds extra churn in Bear)</t>
  </si>
  <si>
    <t>cogs_hps</t>
  </si>
  <si>
    <t>Cost of revenue - hardware &amp; services</t>
  </si>
  <si>
    <t>gp_hps</t>
  </si>
  <si>
    <t>Hardware &amp; services gross profit (loss)</t>
  </si>
  <si>
    <t>hps_add</t>
  </si>
  <si>
    <t>gp_hps_ng</t>
  </si>
  <si>
    <t>Hardware &amp; services gross profit (loss), non-GAAP</t>
  </si>
  <si>
    <t>subsidy</t>
  </si>
  <si>
    <t>Hardware &amp; services subsidy per net new location</t>
  </si>
  <si>
    <t>cogs_amort</t>
  </si>
  <si>
    <t>Amortization of acquired intangibles (cost of revenue)</t>
  </si>
  <si>
    <t>gp_total</t>
  </si>
  <si>
    <t>Total gross profit</t>
  </si>
  <si>
    <t>Recurring gross profit (subscription + fintech) - the number management guides to</t>
  </si>
  <si>
    <t>rgp</t>
  </si>
  <si>
    <t>Recurring gross profit, GAAP</t>
  </si>
  <si>
    <t>rgp_g</t>
  </si>
  <si>
    <t>Recurring gross profit, YoY growth</t>
  </si>
  <si>
    <t>ngadd</t>
  </si>
  <si>
    <t>Non-GAAP add-backs (SBC, D&amp;A in recurring cost of revenue)</t>
  </si>
  <si>
    <t>rgp_ng</t>
  </si>
  <si>
    <t>Recurring gross profit, non-GAAP (company definition)</t>
  </si>
  <si>
    <t>rgp_ng_g</t>
  </si>
  <si>
    <t>Non-GAAP recurring gross profit, YoY growth</t>
  </si>
  <si>
    <t>rgp_per_loc</t>
  </si>
  <si>
    <t>Recurring gross profit per average location per month</t>
  </si>
  <si>
    <t>arr</t>
  </si>
  <si>
    <t>ARR, reported (reference; not forecast)</t>
  </si>
  <si>
    <t>Income statement (quarterly)</t>
  </si>
  <si>
    <t>$ in millions. Actuals = 10-Q / 10-K via Sources; forecast = drivers.</t>
  </si>
  <si>
    <t>Revenue</t>
  </si>
  <si>
    <t>Financial technology solutions</t>
  </si>
  <si>
    <t>Hardware and professional services</t>
  </si>
  <si>
    <t>Cost of revenue</t>
  </si>
  <si>
    <t>Amortization of acquired intangible assets</t>
  </si>
  <si>
    <t>cogs_total</t>
  </si>
  <si>
    <t>Total cost of revenue</t>
  </si>
  <si>
    <t>gp</t>
  </si>
  <si>
    <t>Gross profit</t>
  </si>
  <si>
    <t>gm</t>
  </si>
  <si>
    <t>Gross margin</t>
  </si>
  <si>
    <t>Operating expenses (GAAP)</t>
  </si>
  <si>
    <t>sm</t>
  </si>
  <si>
    <t>Sales and marketing</t>
  </si>
  <si>
    <t>rd</t>
  </si>
  <si>
    <t>Research and development</t>
  </si>
  <si>
    <t>ga</t>
  </si>
  <si>
    <t>General and administrative</t>
  </si>
  <si>
    <t>restr</t>
  </si>
  <si>
    <t>Restructuring</t>
  </si>
  <si>
    <t>opex</t>
  </si>
  <si>
    <t>Total operating expenses</t>
  </si>
  <si>
    <t>opex_rgp</t>
  </si>
  <si>
    <t>Operating expenses, % of recurring gross profit (GAAP)</t>
  </si>
  <si>
    <t>opinc</t>
  </si>
  <si>
    <t>Income (loss) from operations</t>
  </si>
  <si>
    <t>opm</t>
  </si>
  <si>
    <t>Operating margin</t>
  </si>
  <si>
    <t>int_net</t>
  </si>
  <si>
    <t>Interest income, net</t>
  </si>
  <si>
    <t>other_inc</t>
  </si>
  <si>
    <t>Other income (expense), net (incl. warrant revaluation)</t>
  </si>
  <si>
    <t>pretax</t>
  </si>
  <si>
    <t>Income (loss) before income taxes</t>
  </si>
  <si>
    <t>tax</t>
  </si>
  <si>
    <t>Income tax expense (benefit)</t>
  </si>
  <si>
    <t>ni</t>
  </si>
  <si>
    <t>Net income (loss)</t>
  </si>
  <si>
    <t>nim</t>
  </si>
  <si>
    <t>Net margin</t>
  </si>
  <si>
    <t>Operating expenses, non-GAAP (company definition: excl. SBC, payroll tax on equity, D&amp;A) - the forecast drivers</t>
  </si>
  <si>
    <t>ng_sm</t>
  </si>
  <si>
    <t>Sales and marketing, non-GAAP (forecast = serving existing + winning new locations)</t>
  </si>
  <si>
    <t>ng_sm_fix</t>
  </si>
  <si>
    <t>of which serving existing locations (service cost per location x average locations)</t>
  </si>
  <si>
    <t>ng_sm_var</t>
  </si>
  <si>
    <t>of which winning new locations (forecast = locations sold run rate (net adds, plus extra churn in Bear) x cost per location)</t>
  </si>
  <si>
    <t>ng_rd</t>
  </si>
  <si>
    <t>Research and development, non-GAAP (forecast = same quarter last year x growth)</t>
  </si>
  <si>
    <t>ng_ga</t>
  </si>
  <si>
    <t>General and administrative, non-GAAP (forecast = same quarter last year x growth)</t>
  </si>
  <si>
    <t>ng_opex</t>
  </si>
  <si>
    <t>Operating expenses, non-GAAP</t>
  </si>
  <si>
    <t>ng_opex_rgp</t>
  </si>
  <si>
    <t>opex_nc</t>
  </si>
  <si>
    <t>SBC, D&amp;A and other excluded items inside operating expenses (GAAP - non-GAAP)</t>
  </si>
  <si>
    <t>share_sm</t>
  </si>
  <si>
    <t>Share of those items booked in S&amp;M (last 4 quarters; forecast only)</t>
  </si>
  <si>
    <t>share_rd</t>
  </si>
  <si>
    <t>Share of those items booked in R&amp;D (last 4 quarters; forecast only)</t>
  </si>
  <si>
    <t>share_ga</t>
  </si>
  <si>
    <t>Share of those items booked in G&amp;A (last 4 quarters; forecast only)</t>
  </si>
  <si>
    <t>Adjusted EBITDA (company definition)</t>
  </si>
  <si>
    <t>da</t>
  </si>
  <si>
    <t>Depreciation and amortization</t>
  </si>
  <si>
    <t>sbc</t>
  </si>
  <si>
    <t>Stock-based compensation</t>
  </si>
  <si>
    <t>ebitda_b</t>
  </si>
  <si>
    <t>Operating income + D&amp;A + SBC + restructuring</t>
  </si>
  <si>
    <t>otheradj</t>
  </si>
  <si>
    <t>Other reconciling items (payroll tax on equity, acquisition costs, other)</t>
  </si>
  <si>
    <t>adj_ebitda</t>
  </si>
  <si>
    <t>adj_m_rev</t>
  </si>
  <si>
    <t>Adjusted EBITDA, % of revenue</t>
  </si>
  <si>
    <t>adj_m_rgp</t>
  </si>
  <si>
    <t>Adjusted EBITDA, % of non-GAAP recurring gross profit</t>
  </si>
  <si>
    <t>adj_build</t>
  </si>
  <si>
    <t>Adjusted EBITDA rebuilt from non-GAAP lines (RGP + hardware GP - non-GAAP opex)</t>
  </si>
  <si>
    <t>adj_build_diff</t>
  </si>
  <si>
    <t>Adjusted EBITDA - rebuilt (actuals: rounding in six reported lines; forecast: must be 0)</t>
  </si>
  <si>
    <t>Balance sheet (quarterly)</t>
  </si>
  <si>
    <t>$ in millions, end of period.</t>
  </si>
  <si>
    <t>Assets</t>
  </si>
  <si>
    <t>cash</t>
  </si>
  <si>
    <t>Cash and cash equivalents</t>
  </si>
  <si>
    <t>mkt</t>
  </si>
  <si>
    <t>Marketable securities</t>
  </si>
  <si>
    <t>ar</t>
  </si>
  <si>
    <t>Accounts receivable, net</t>
  </si>
  <si>
    <t>inv</t>
  </si>
  <si>
    <t>Inventories</t>
  </si>
  <si>
    <t>rc_cur</t>
  </si>
  <si>
    <t>Restricted cash (customer funds)</t>
  </si>
  <si>
    <t>oca</t>
  </si>
  <si>
    <t>Other current assets</t>
  </si>
  <si>
    <t>tca</t>
  </si>
  <si>
    <t>Total current assets</t>
  </si>
  <si>
    <t>ppe</t>
  </si>
  <si>
    <t>Property and equipment, net</t>
  </si>
  <si>
    <t>gwi</t>
  </si>
  <si>
    <t>Goodwill and intangible assets</t>
  </si>
  <si>
    <t>rc_nc</t>
  </si>
  <si>
    <t>Restricted cash, non-current</t>
  </si>
  <si>
    <t>onca</t>
  </si>
  <si>
    <t>Other non-current assets</t>
  </si>
  <si>
    <t>ta</t>
  </si>
  <si>
    <t>Total assets</t>
  </si>
  <si>
    <t>Liabilities and equity</t>
  </si>
  <si>
    <t>ap</t>
  </si>
  <si>
    <t>Accounts payable</t>
  </si>
  <si>
    <t>defrev</t>
  </si>
  <si>
    <t>Deferred revenue</t>
  </si>
  <si>
    <t>accr</t>
  </si>
  <si>
    <t>Accrued expenses and other current liabilities</t>
  </si>
  <si>
    <t>tcl</t>
  </si>
  <si>
    <t>Total current liabilities</t>
  </si>
  <si>
    <t>ncl</t>
  </si>
  <si>
    <t>Non-current liabilities (leases, other)</t>
  </si>
  <si>
    <t>tl</t>
  </si>
  <si>
    <t>Total liabilities</t>
  </si>
  <si>
    <t>eq</t>
  </si>
  <si>
    <t>Total stockholders' equity</t>
  </si>
  <si>
    <t>tle</t>
  </si>
  <si>
    <t>Total liabilities and stockholders' equity</t>
  </si>
  <si>
    <t>check</t>
  </si>
  <si>
    <t>Balance check: total assets - total liabilities and equity (must be 0)</t>
  </si>
  <si>
    <t>ta_rep</t>
  </si>
  <si>
    <t>Total assets as reported (actuals)</t>
  </si>
  <si>
    <t>ta_diff</t>
  </si>
  <si>
    <t>Rebuilt total assets - reported (must be 0)</t>
  </si>
  <si>
    <t>tl_rep</t>
  </si>
  <si>
    <t>Total liabilities as reported (actuals)</t>
  </si>
  <si>
    <t>tl_diff</t>
  </si>
  <si>
    <t>Rebuilt total liabilities - reported (must be 0)</t>
  </si>
  <si>
    <t>Cash flow statement (quarterly)</t>
  </si>
  <si>
    <t>$ in millions. 10-Qs report cash flow year-to-date; quarters are differences of YTD figures.</t>
  </si>
  <si>
    <t>Operating activities</t>
  </si>
  <si>
    <t>wc</t>
  </si>
  <si>
    <t>Working capital and other operating items</t>
  </si>
  <si>
    <t>cfo</t>
  </si>
  <si>
    <t>Net cash from operating activities</t>
  </si>
  <si>
    <t>Investing activities</t>
  </si>
  <si>
    <t>capex</t>
  </si>
  <si>
    <t>Capital expenditures (incl. capitalized software)</t>
  </si>
  <si>
    <t>oth_inv</t>
  </si>
  <si>
    <t>Securities and other investing</t>
  </si>
  <si>
    <t>cfi</t>
  </si>
  <si>
    <t>Net cash from investing activities</t>
  </si>
  <si>
    <t>Financing activities</t>
  </si>
  <si>
    <t>bb</t>
  </si>
  <si>
    <t>Repurchases of common stock</t>
  </si>
  <si>
    <t>oth_fin</t>
  </si>
  <si>
    <t>Other financing (option exercises, tax withholding, customer funds)</t>
  </si>
  <si>
    <t>cff</t>
  </si>
  <si>
    <t>Net cash from financing activities</t>
  </si>
  <si>
    <t>fx</t>
  </si>
  <si>
    <t>Effect of exchange rates</t>
  </si>
  <si>
    <t>net</t>
  </si>
  <si>
    <t>Net change in cash, equivalents and restricted cash</t>
  </si>
  <si>
    <t>cash_beg</t>
  </si>
  <si>
    <t>Cash, equivalents and restricted cash - beginning</t>
  </si>
  <si>
    <t>cash_end</t>
  </si>
  <si>
    <t>Cash, equivalents and restricted cash - ending</t>
  </si>
  <si>
    <t>cash_rep</t>
  </si>
  <si>
    <t>Ending cash as reported (actuals)</t>
  </si>
  <si>
    <t>cash_bs</t>
  </si>
  <si>
    <t>Ending cash per balance sheet (cash + restricted)</t>
  </si>
  <si>
    <t>cash_diff</t>
  </si>
  <si>
    <t>Cash flow ending cash - balance sheet cash (must be 0)</t>
  </si>
  <si>
    <t>Free cash flow (company definition: operating cash flow less capital expenditures)</t>
  </si>
  <si>
    <t>fcf</t>
  </si>
  <si>
    <t>fcf_rep</t>
  </si>
  <si>
    <t>Free cash flow as reported in the earnings release (actuals)</t>
  </si>
  <si>
    <t>fcf_conv</t>
  </si>
  <si>
    <t>Free cash flow / Adjusted EBITDA</t>
  </si>
  <si>
    <t>fcf_m</t>
  </si>
  <si>
    <t>Free cash flow, % of revenue</t>
  </si>
  <si>
    <t>Working capital, PP&amp;E, cash &amp; equity schedules (quarterly)</t>
  </si>
  <si>
    <t>$ in millions.</t>
  </si>
  <si>
    <t>Working capital</t>
  </si>
  <si>
    <t>Days in quarter</t>
  </si>
  <si>
    <t>rev</t>
  </si>
  <si>
    <t>cogs</t>
  </si>
  <si>
    <t>Hardware &amp; services cost of revenue</t>
  </si>
  <si>
    <t>Subscription revenue</t>
  </si>
  <si>
    <t>dso</t>
  </si>
  <si>
    <t>DSO (days of revenue)</t>
  </si>
  <si>
    <t>Accounts receivable</t>
  </si>
  <si>
    <t>dio</t>
  </si>
  <si>
    <t>DIO (days of hardware &amp; services cost)</t>
  </si>
  <si>
    <t>oca_pct</t>
  </si>
  <si>
    <t>% of quarterly revenue</t>
  </si>
  <si>
    <t>Other current assets, ex restricted cash</t>
  </si>
  <si>
    <t>dpo</t>
  </si>
  <si>
    <t>DPO (days of cost of revenue)</t>
  </si>
  <si>
    <t>defrev_pct</t>
  </si>
  <si>
    <t>% of quarterly subscription revenue</t>
  </si>
  <si>
    <t>accr_pct</t>
  </si>
  <si>
    <t>% of quarterly cost of revenue</t>
  </si>
  <si>
    <t>Accrued &amp; other current liabilities</t>
  </si>
  <si>
    <t>onca_pct</t>
  </si>
  <si>
    <t>Other non-current assets, % of quarterly revenue</t>
  </si>
  <si>
    <t>nwc</t>
  </si>
  <si>
    <t>Net working capital</t>
  </si>
  <si>
    <t>nwc_onca</t>
  </si>
  <si>
    <t>Net working capital + other non-current assets</t>
  </si>
  <si>
    <t>inv_cash</t>
  </si>
  <si>
    <t>of which inventories (decrease = cash inflow)</t>
  </si>
  <si>
    <t>dnwc</t>
  </si>
  <si>
    <t>Cash impact of working capital and other assets (decrease = inflow)</t>
  </si>
  <si>
    <t>Property &amp; equipment and intangibles</t>
  </si>
  <si>
    <t>ppe_bop</t>
  </si>
  <si>
    <t>PP&amp;E, opening</t>
  </si>
  <si>
    <t>Capital expenditures</t>
  </si>
  <si>
    <t>dep</t>
  </si>
  <si>
    <t>Depreciation (D&amp;A less intangible amortization)</t>
  </si>
  <si>
    <t>ppe_eop</t>
  </si>
  <si>
    <t>PP&amp;E, closing</t>
  </si>
  <si>
    <t>ppe_other</t>
  </si>
  <si>
    <t>Other PP&amp;E movements (acquisitions, disposals, leases) - actuals only</t>
  </si>
  <si>
    <t>dep_rate</t>
  </si>
  <si>
    <t>Depreciation, % of opening PP&amp;E</t>
  </si>
  <si>
    <t>gwi_bop</t>
  </si>
  <si>
    <t>Goodwill &amp; intangibles, opening</t>
  </si>
  <si>
    <t>amort</t>
  </si>
  <si>
    <t>Amortization of acquired intangibles</t>
  </si>
  <si>
    <t>gwi_eop</t>
  </si>
  <si>
    <t>Goodwill &amp; intangibles, closing</t>
  </si>
  <si>
    <t>da_total</t>
  </si>
  <si>
    <t>Total D&amp;A</t>
  </si>
  <si>
    <t>Cash &amp; marketable securities</t>
  </si>
  <si>
    <t>sec_bop</t>
  </si>
  <si>
    <t>Marketable securities, opening</t>
  </si>
  <si>
    <t>sec_buy</t>
  </si>
  <si>
    <t>sec_eop</t>
  </si>
  <si>
    <t>Marketable securities, closing</t>
  </si>
  <si>
    <t>ie_bal</t>
  </si>
  <si>
    <t>Interest-earning balance, opening (cash + securities)</t>
  </si>
  <si>
    <t>yield</t>
  </si>
  <si>
    <t>Interest yield, annualized</t>
  </si>
  <si>
    <t>Stockholders' equity</t>
  </si>
  <si>
    <t>eq_bop</t>
  </si>
  <si>
    <t>Equity, opening</t>
  </si>
  <si>
    <t>eq_ni</t>
  </si>
  <si>
    <t>eq_sbc</t>
  </si>
  <si>
    <t>eq_bb</t>
  </si>
  <si>
    <t>eq_other</t>
  </si>
  <si>
    <t>Other (option exercises, OCI, tax withholding) - actuals only</t>
  </si>
  <si>
    <t>eq_eop</t>
  </si>
  <si>
    <t>Equity, closing</t>
  </si>
  <si>
    <t>Annual summary FY2020A - FY2028E</t>
  </si>
  <si>
    <t>FY2022+ = sum of quarters; FY2020-21 = 10-K. FY2026E = H1 actual + H2 forecast.</t>
  </si>
  <si>
    <t>Fiscal year (number)</t>
  </si>
  <si>
    <t>Operating metrics</t>
  </si>
  <si>
    <t>Average locations (mean of quarterly averages)</t>
  </si>
  <si>
    <t>Subscription revenue per location per month</t>
  </si>
  <si>
    <t>$k / yr</t>
  </si>
  <si>
    <t>Take rate (fintech revenue / GPV)</t>
  </si>
  <si>
    <t>Fintech cost of revenue per $ of GPV</t>
  </si>
  <si>
    <t>Fintech gross profit per $ of GPV</t>
  </si>
  <si>
    <t>gpv_incr</t>
  </si>
  <si>
    <t>GPV per added location (change in GPV / change in average locations)</t>
  </si>
  <si>
    <t>gpv_incr_ratio</t>
  </si>
  <si>
    <t>GPV per added location / GPV per average location</t>
  </si>
  <si>
    <t>Income statement</t>
  </si>
  <si>
    <t>Revenue growth</t>
  </si>
  <si>
    <t>Fintech cost of revenue</t>
  </si>
  <si>
    <t>Fintech gross margin</t>
  </si>
  <si>
    <t>Recurring gross profit (GAAP)</t>
  </si>
  <si>
    <t>Recurring gross profit (non-GAAP, company definition)</t>
  </si>
  <si>
    <t>Non-GAAP recurring gross profit growth</t>
  </si>
  <si>
    <t>Sales and marketing, non-GAAP</t>
  </si>
  <si>
    <t>of which serving existing locations (assumption-based split)</t>
  </si>
  <si>
    <t>of which winning new locations</t>
  </si>
  <si>
    <t>Research and development, non-GAAP</t>
  </si>
  <si>
    <t>General and administrative, non-GAAP</t>
  </si>
  <si>
    <t>Other items excluded from Adjusted EBITDA</t>
  </si>
  <si>
    <t>Other income (expense), net</t>
  </si>
  <si>
    <t>Income tax expense</t>
  </si>
  <si>
    <t>Cash flow</t>
  </si>
  <si>
    <t>Working capital and other operating items (cash flow statement)</t>
  </si>
  <si>
    <t>From Adjusted EBITDA to free cash flow</t>
  </si>
  <si>
    <t>br_adj</t>
  </si>
  <si>
    <t>br_excl</t>
  </si>
  <si>
    <t>Less restructuring and other items excluded from Adjusted EBITDA</t>
  </si>
  <si>
    <t>br_int</t>
  </si>
  <si>
    <t>Plus interest income on cash and securities</t>
  </si>
  <si>
    <t>br_oth</t>
  </si>
  <si>
    <t>Plus other income (non-cash items reverse in working capital)</t>
  </si>
  <si>
    <t>br_tax</t>
  </si>
  <si>
    <t>Less income tax expense</t>
  </si>
  <si>
    <t>br_wc</t>
  </si>
  <si>
    <t>Plus / less working capital and other operating items</t>
  </si>
  <si>
    <t>br_inv</t>
  </si>
  <si>
    <t>of which inventories (memo)</t>
  </si>
  <si>
    <t>br_capex</t>
  </si>
  <si>
    <t>Less capital expenditures</t>
  </si>
  <si>
    <t>br_fcf</t>
  </si>
  <si>
    <t>Free cash flow (bridge result)</t>
  </si>
  <si>
    <t>br_check</t>
  </si>
  <si>
    <t>Bridge result - free cash flow (must be 0)</t>
  </si>
  <si>
    <t>Balance sheet (year end)</t>
  </si>
  <si>
    <t>liquidity</t>
  </si>
  <si>
    <t>Cash + marketable securities</t>
  </si>
  <si>
    <t>temp_eq</t>
  </si>
  <si>
    <t>Redeemable convertible preferred stock (pre-IPO; none from FY2021)</t>
  </si>
  <si>
    <t>Assets - liabilities - preferred - equity (must be 0)</t>
  </si>
  <si>
    <t>Tie-out: sum of quarters vs 10-K fiscal year (FY2022-FY2025)</t>
  </si>
  <si>
    <t>tie_rev_total</t>
  </si>
  <si>
    <t>Total revenue: quarters - 10-K</t>
  </si>
  <si>
    <t>tie_opinc</t>
  </si>
  <si>
    <t>Income (loss) from operations: quarters - 10-K</t>
  </si>
  <si>
    <t>tie_ni</t>
  </si>
  <si>
    <t>Net income (loss): quarters - 10-K</t>
  </si>
  <si>
    <t>tie_cfo</t>
  </si>
  <si>
    <t>Net cash from operating activities: quarters - 10-K</t>
  </si>
  <si>
    <t>Per-location unit economics (annual)</t>
  </si>
  <si>
    <t>Approximation built from reported totals: net adds, not gross adds; S&amp;M includes spend on existing customers.</t>
  </si>
  <si>
    <t>What one location earns (non-GAAP recurring gross profit per location; cash basis)</t>
  </si>
  <si>
    <t>Average locations</t>
  </si>
  <si>
    <t>rgp_loc</t>
  </si>
  <si>
    <t>Recurring gross profit (non-GAAP) per location per year</t>
  </si>
  <si>
    <t>rgp_loc_m</t>
  </si>
  <si>
    <t>Recurring gross profit (non-GAAP) per location per month</t>
  </si>
  <si>
    <t>What it costs to add one (non-GAAP; upper bound because it uses net adds and all of S&amp;M)</t>
  </si>
  <si>
    <t>sm_add</t>
  </si>
  <si>
    <t>Sales &amp; marketing to win new locations (non-GAAP) per net new location - the S&amp;M driver</t>
  </si>
  <si>
    <t>hw_add</t>
  </si>
  <si>
    <t>Hardware &amp; services subsidy (non-GAAP) per net new location</t>
  </si>
  <si>
    <t>cac</t>
  </si>
  <si>
    <t>Acquisition cost per net new location</t>
  </si>
  <si>
    <t>sm_add_total</t>
  </si>
  <si>
    <t>Memo: all non-GAAP sales &amp; marketing per net new location</t>
  </si>
  <si>
    <t>sm_add_gaap</t>
  </si>
  <si>
    <t>Memo: all GAAP sales &amp; marketing per net new location (incl. stock comp)</t>
  </si>
  <si>
    <t>svc_loc</t>
  </si>
  <si>
    <t>Memo: sales &amp; marketing serving existing locations, per average location per year</t>
  </si>
  <si>
    <t>Payback</t>
  </si>
  <si>
    <t>payback</t>
  </si>
  <si>
    <t>Months of recurring gross profit to repay acquisition cost</t>
  </si>
  <si>
    <t>months</t>
  </si>
  <si>
    <t>ltv_cac</t>
  </si>
  <si>
    <t>Recurring gross profit over the payback horizon (PaybackYears) / acquisition cost</t>
  </si>
  <si>
    <t>adds_per_100m</t>
  </si>
  <si>
    <t>Net adds bought by SMWhatIf ($m, Inputs) more non-GAAP S&amp;M at this cost</t>
  </si>
  <si>
    <t>Reference: least-squares split of non-GAAP S&amp;M, FY2023-FY2025 (S&amp;M = a x average locations + b x net adds)</t>
  </si>
  <si>
    <t>fit_y</t>
  </si>
  <si>
    <t>Fit data: non-GAAP sales &amp; marketing ($k)</t>
  </si>
  <si>
    <t>fit_x1</t>
  </si>
  <si>
    <t>Fit data: average locations</t>
  </si>
  <si>
    <t>fit_x2</t>
  </si>
  <si>
    <t>Fit data: net adds</t>
  </si>
  <si>
    <t>fit_a</t>
  </si>
  <si>
    <t>Fitted cost per average location per year ($k) - compare Inputs in_svc</t>
  </si>
  <si>
    <t>fit_b</t>
  </si>
  <si>
    <t>Fitted cost per net add ($k)</t>
  </si>
  <si>
    <t>alt_cpa</t>
  </si>
  <si>
    <t>At the fitted service cost: cost to win a location per net add (history)</t>
  </si>
  <si>
    <t>alt_payback</t>
  </si>
  <si>
    <t>At the fitted service cost: payback in months (history)</t>
  </si>
  <si>
    <t>Revenue bridge by driver</t>
  </si>
  <si>
    <t>Splits each year's revenue change into volume (locations), price (revenue per location), GPV per location and take rate.</t>
  </si>
  <si>
    <t>Driver levels (annual)</t>
  </si>
  <si>
    <t>L</t>
  </si>
  <si>
    <t>P</t>
  </si>
  <si>
    <t>G</t>
  </si>
  <si>
    <t>T</t>
  </si>
  <si>
    <t>Take rate</t>
  </si>
  <si>
    <t>Fintech revenue</t>
  </si>
  <si>
    <t>Hardware &amp; services revenue</t>
  </si>
  <si>
    <t>Bridge from prior year (each column explains the change from the column to its left)</t>
  </si>
  <si>
    <t>b_start</t>
  </si>
  <si>
    <t>Prior-year revenue</t>
  </si>
  <si>
    <t>b_sub_vol</t>
  </si>
  <si>
    <t>Subscription: more locations</t>
  </si>
  <si>
    <t>b_sub_px</t>
  </si>
  <si>
    <t>Subscription: revenue per location</t>
  </si>
  <si>
    <t>b_fin_vol</t>
  </si>
  <si>
    <t>Fintech: more locations</t>
  </si>
  <si>
    <t>b_fin_gpv</t>
  </si>
  <si>
    <t>Fintech: GPV per location</t>
  </si>
  <si>
    <t>b_fin_take</t>
  </si>
  <si>
    <t>Fintech: take rate</t>
  </si>
  <si>
    <t>b_hps</t>
  </si>
  <si>
    <t>Hardware &amp; services</t>
  </si>
  <si>
    <t>b_end</t>
  </si>
  <si>
    <t>Revenue (bridge result)</t>
  </si>
  <si>
    <t>b_check</t>
  </si>
  <si>
    <t>Bridge result - model revenue (must be 0)</t>
  </si>
  <si>
    <t>b_vol_share</t>
  </si>
  <si>
    <t>Share of growth from more locations</t>
  </si>
  <si>
    <t>Model vs company outlook</t>
  </si>
  <si>
    <t>Company outlook from the 8-K earnings releases (Sources rows guide_*).</t>
  </si>
  <si>
    <t>1. Latest outlook (8-K, Aug 4, 2026) vs the model's active scenario</t>
  </si>
  <si>
    <t>Measure</t>
  </si>
  <si>
    <t>Lookup key</t>
  </si>
  <si>
    <t>Outlook low</t>
  </si>
  <si>
    <t>Outlook high</t>
  </si>
  <si>
    <t>Midpoint</t>
  </si>
  <si>
    <t>Model</t>
  </si>
  <si>
    <t>Model - midpoint</t>
  </si>
  <si>
    <t>vs midpoint</t>
  </si>
  <si>
    <t>guide_rgp</t>
  </si>
  <si>
    <t>FY2026 non-GAAP recurring gross profit</t>
  </si>
  <si>
    <t>FY-2026@2026-08-04</t>
  </si>
  <si>
    <t>guide_ebitda</t>
  </si>
  <si>
    <t>FY2026 Adjusted EBITDA</t>
  </si>
  <si>
    <t>Q3 2026 non-GAAP recurring gross profit</t>
  </si>
  <si>
    <t>Q3-2026@2026-08-04</t>
  </si>
  <si>
    <t>Q3 2026 Adjusted EBITDA</t>
  </si>
  <si>
    <t>Implied Q4 2026 Adjusted EBITDA (FY outlook - H1 actual - Q3 outlook)</t>
  </si>
  <si>
    <t>Memo: Q2 2026 Adjusted EBITDA, actual</t>
  </si>
  <si>
    <t>2. Every full-year Adjusted EBITDA outlook vs what Toast delivered ($m)</t>
  </si>
  <si>
    <t>Outlook issued</t>
  </si>
  <si>
    <t>Low</t>
  </si>
  <si>
    <t>High</t>
  </si>
  <si>
    <t>Actual (model for FY26)</t>
  </si>
  <si>
    <t>Actual - midpoint</t>
  </si>
  <si>
    <t>vs top of range</t>
  </si>
  <si>
    <t>FY2024 outlook issued 2024-02-15</t>
  </si>
  <si>
    <t>FY-2024@2024-02-15</t>
  </si>
  <si>
    <t>FY2024 outlook issued 2024-05-07</t>
  </si>
  <si>
    <t>FY-2024@2024-05-07</t>
  </si>
  <si>
    <t>FY2024 outlook issued 2024-08-06</t>
  </si>
  <si>
    <t>FY-2024@2024-08-06</t>
  </si>
  <si>
    <t>FY2024 outlook issued 2024-11-07</t>
  </si>
  <si>
    <t>FY-2024@2024-11-07</t>
  </si>
  <si>
    <t>FY2025 outlook issued 2025-02-19</t>
  </si>
  <si>
    <t>FY-2025@2025-02-19</t>
  </si>
  <si>
    <t>FY2025 outlook issued 2025-05-08</t>
  </si>
  <si>
    <t>FY-2025@2025-05-08</t>
  </si>
  <si>
    <t>FY2025 outlook issued 2025-08-05</t>
  </si>
  <si>
    <t>FY-2025@2025-08-05</t>
  </si>
  <si>
    <t>FY2025 outlook issued 2025-11-04</t>
  </si>
  <si>
    <t>FY-2025@2025-11-04</t>
  </si>
  <si>
    <t>FY2026 outlook issued 2026-02-12</t>
  </si>
  <si>
    <t>FY-2026@2026-02-12</t>
  </si>
  <si>
    <t>FY2026 outlook issued 2026-05-07</t>
  </si>
  <si>
    <t>FY-2026@2026-05-07</t>
  </si>
  <si>
    <t>FY2026 outlook issued 2026-08-04</t>
  </si>
  <si>
    <t>3. Every quarterly Adjusted EBITDA outlook vs actual ($m; outlook issued with the prior quarter's results)</t>
  </si>
  <si>
    <t>Quarter (outlook issued)</t>
  </si>
  <si>
    <t>Actual (model for Q3'26)</t>
  </si>
  <si>
    <t>Q3 2023 (issued 2023-08-08)</t>
  </si>
  <si>
    <t>Q3-2023@2023-08-08</t>
  </si>
  <si>
    <t>Q4 2023 (issued 2023-11-07)</t>
  </si>
  <si>
    <t>Q4-2023@2023-11-07</t>
  </si>
  <si>
    <t>Q1 2024 (issued 2024-02-15)</t>
  </si>
  <si>
    <t>Q1-2024@2024-02-15</t>
  </si>
  <si>
    <t>Q2 2024 (issued 2024-05-07)</t>
  </si>
  <si>
    <t>Q2-2024@2024-05-07</t>
  </si>
  <si>
    <t>Q3 2024 (issued 2024-08-06)</t>
  </si>
  <si>
    <t>Q3-2024@2024-08-06</t>
  </si>
  <si>
    <t>Q4 2024 (issued 2024-11-07)</t>
  </si>
  <si>
    <t>Q4-2024@2024-11-07</t>
  </si>
  <si>
    <t>Q1 2025 (issued 2025-02-19)</t>
  </si>
  <si>
    <t>Q1-2025@2025-02-19</t>
  </si>
  <si>
    <t>Q2 2025 (issued 2025-05-08)</t>
  </si>
  <si>
    <t>Q2-2025@2025-05-08</t>
  </si>
  <si>
    <t>Q3 2025 (issued 2025-08-05)</t>
  </si>
  <si>
    <t>Q3-2025@2025-08-05</t>
  </si>
  <si>
    <t>Q4 2025 (issued 2025-11-04)</t>
  </si>
  <si>
    <t>Q4-2025@2025-11-04</t>
  </si>
  <si>
    <t>Q1 2026 (issued 2026-02-12)</t>
  </si>
  <si>
    <t>Q1-2026@2026-02-12</t>
  </si>
  <si>
    <t>Q2 2026 (issued 2026-05-07)</t>
  </si>
  <si>
    <t>Q2-2026@2026-05-07</t>
  </si>
  <si>
    <t>Q3 2026 (issued 2026-08-04)</t>
  </si>
  <si>
    <t>4. First full-year outlook vs what Toast delivered</t>
  </si>
  <si>
    <t>Initial low</t>
  </si>
  <si>
    <t>Initial high</t>
  </si>
  <si>
    <t>Actual</t>
  </si>
  <si>
    <t>Actual vs top of range</t>
  </si>
  <si>
    <t>FY2024 Adjusted EBITDA</t>
  </si>
  <si>
    <t>FY2024 Non-GAAP recurring gross profit</t>
  </si>
  <si>
    <t>FY2025 Adjusted EBITDA</t>
  </si>
  <si>
    <t>FY2025 Non-GAAP recurring gross profit</t>
  </si>
  <si>
    <t>5. Toast's own margin targets (Adjusted EBITDA / non-GAAP recurring gross profit) vs the model</t>
  </si>
  <si>
    <t>Target or check</t>
  </si>
  <si>
    <t>Value</t>
  </si>
  <si>
    <t>Source row key</t>
  </si>
  <si>
    <t>Medium-term goal set at the 2024 Investor Day: low (reached in Q1'25)</t>
  </si>
  <si>
    <t>target_mt_low</t>
  </si>
  <si>
    <t>Medium-term goal: high</t>
  </si>
  <si>
    <t>target_mt_high</t>
  </si>
  <si>
    <t>Long-term: '40%-plus' (Q4'25 remarks; reaffirmed Aug 2026)</t>
  </si>
  <si>
    <t>target_lt_floor</t>
  </si>
  <si>
    <t>Denominator check: Toast said Q1'25 margin was 32%; model Adjusted EBITDA / non-GAAP RGP for Q1'25</t>
  </si>
  <si>
    <t>Model margin by year (active scenario)</t>
  </si>
  <si>
    <t>Adjusted EBITDA / non-GAAP recurring gross profit</t>
  </si>
  <si>
    <t>Model minus the long-term floor</t>
  </si>
  <si>
    <t>pts</t>
  </si>
  <si>
    <t>Backtest: the method frozen at Q2'25 vs what Toast then reported</t>
  </si>
  <si>
    <t>The model's own driver rules (including the S&amp;M split), with every input set mechanically from quarters up to Q2'25; the live model's inputs are judgment calls, so this tests the rules, not the judgment. $ in millions unless stated.</t>
  </si>
  <si>
    <t>Sections A-E: frozen at Q2'25, quarters Q3'25 and Q4'25. Section F: frozen at Q2'26, quarters Q3'26 and Q4'26.</t>
  </si>
  <si>
    <t>Q3</t>
  </si>
  <si>
    <t>Q4</t>
  </si>
  <si>
    <t>H2</t>
  </si>
  <si>
    <t>A. Frozen forecast - the model's rules, every input taken only from quarters up to Q2'25</t>
  </si>
  <si>
    <t>f_adds</t>
  </si>
  <si>
    <t>Net adds = same quarter a year earlier x (last-4-quarter adds / the 4 before)</t>
  </si>
  <si>
    <t>f_loc</t>
  </si>
  <si>
    <t>Locations, end of quarter</t>
  </si>
  <si>
    <t>f_avgloc</t>
  </si>
  <si>
    <t>f_arpu</t>
  </si>
  <si>
    <t>Subscription revenue per location per month = year-ago x (1 + Q2'25 YoY growth)</t>
  </si>
  <si>
    <t>f_rev_sub</t>
  </si>
  <si>
    <t>f_gpvloc</t>
  </si>
  <si>
    <t>GPV per location = year-ago x (1 + Q2'25 YoY growth)</t>
  </si>
  <si>
    <t>f_gpv</t>
  </si>
  <si>
    <t>GPV</t>
  </si>
  <si>
    <t>f_take</t>
  </si>
  <si>
    <t>Take rate = year-ago + Q2'25 YoY change</t>
  </si>
  <si>
    <t>f_cost</t>
  </si>
  <si>
    <t>Fintech cost per $ of GPV = year-ago + Q2'25 YoY change</t>
  </si>
  <si>
    <t>f_rev_fin</t>
  </si>
  <si>
    <t>f_gm_sub</t>
  </si>
  <si>
    <t>Subscription gross margin = last 4 quarters</t>
  </si>
  <si>
    <t>f_gp_sub</t>
  </si>
  <si>
    <t>f_gp_fin</t>
  </si>
  <si>
    <t>f_ngadd</t>
  </si>
  <si>
    <t>Non-GAAP add-backs in recurring cost of revenue = Q2'25</t>
  </si>
  <si>
    <t>f_rgp_ng</t>
  </si>
  <si>
    <t>Recurring gross profit, non-GAAP</t>
  </si>
  <si>
    <t>f_hw</t>
  </si>
  <si>
    <t>Hardware gross profit, non-GAAP = net adds x last-4-quarter loss per net add</t>
  </si>
  <si>
    <t>f_cpa</t>
  </si>
  <si>
    <t>Cost to win a location per net add = last 4 quarters (S&amp;M less service cost) / net adds</t>
  </si>
  <si>
    <t>f_sm</t>
  </si>
  <si>
    <t>Sales &amp; marketing, non-GAAP = model rule: service cost x average locations + run-rate adds x cost per add</t>
  </si>
  <si>
    <t>f_rd</t>
  </si>
  <si>
    <t>Research &amp; development, non-GAAP = model rule: year-ago x growth (growth = last 4 quarters vs the 4 before)</t>
  </si>
  <si>
    <t>f_ga</t>
  </si>
  <si>
    <t>General &amp; administrative, non-GAAP = model rule: year-ago x growth (growth = last 4 quarters vs the 4 before)</t>
  </si>
  <si>
    <t>f_adj</t>
  </si>
  <si>
    <t>Adjusted EBITDA, frozen-rule forecast</t>
  </si>
  <si>
    <t>B. What Toast reported</t>
  </si>
  <si>
    <t>a_adds</t>
  </si>
  <si>
    <t>a_loc</t>
  </si>
  <si>
    <t>a_avgloc</t>
  </si>
  <si>
    <t>a_arpu</t>
  </si>
  <si>
    <t>a_rev_sub</t>
  </si>
  <si>
    <t>a_gpvloc</t>
  </si>
  <si>
    <t>a_gpv</t>
  </si>
  <si>
    <t>a_take</t>
  </si>
  <si>
    <t>a_cost</t>
  </si>
  <si>
    <t>a_rev_fin</t>
  </si>
  <si>
    <t>a_gm_sub</t>
  </si>
  <si>
    <t>a_gp_sub</t>
  </si>
  <si>
    <t>a_gp_fin</t>
  </si>
  <si>
    <t>a_ngadd</t>
  </si>
  <si>
    <t>a_rgp_ng</t>
  </si>
  <si>
    <t>a_hw</t>
  </si>
  <si>
    <t>a_sm</t>
  </si>
  <si>
    <t>a_rd</t>
  </si>
  <si>
    <t>a_ga</t>
  </si>
  <si>
    <t>a_adj</t>
  </si>
  <si>
    <t>Adjusted EBITDA rebuilt from the reported non-GAAP lines</t>
  </si>
  <si>
    <t>a_adj_rep</t>
  </si>
  <si>
    <t>Adjusted EBITDA as reported (differs from the line above by rounding only)</t>
  </si>
  <si>
    <t>C. Forecast error = forecast / actual - 1 (positive = forecast too high)</t>
  </si>
  <si>
    <t>e_loc</t>
  </si>
  <si>
    <t>e_rev_sub</t>
  </si>
  <si>
    <t>e_rev_fin</t>
  </si>
  <si>
    <t>e_rgp</t>
  </si>
  <si>
    <t>e_adj</t>
  </si>
  <si>
    <t>Adjusted EBITDA (vs reported)</t>
  </si>
  <si>
    <t>D. Adjusted EBITDA miss split by driver (actual - frozen forecast, $m; negative = actual worse)</t>
  </si>
  <si>
    <t>v_loc</t>
  </si>
  <si>
    <t>More / fewer locations</t>
  </si>
  <si>
    <t>v_arpu</t>
  </si>
  <si>
    <t>Subscription revenue per location</t>
  </si>
  <si>
    <t>v_gmsub</t>
  </si>
  <si>
    <t>v_gpvloc</t>
  </si>
  <si>
    <t>GPV per location</t>
  </si>
  <si>
    <t>v_take</t>
  </si>
  <si>
    <t>Take rate (pricing)</t>
  </si>
  <si>
    <t>v_cost</t>
  </si>
  <si>
    <t>Fintech cost per $ of GPV</t>
  </si>
  <si>
    <t>v_ngadd</t>
  </si>
  <si>
    <t>Non-GAAP add-backs in cost of revenue</t>
  </si>
  <si>
    <t>v_hw</t>
  </si>
  <si>
    <t>v_sm</t>
  </si>
  <si>
    <t>Sales &amp; marketing (higher spend = negative)</t>
  </si>
  <si>
    <t>v_rd</t>
  </si>
  <si>
    <t>Research &amp; development</t>
  </si>
  <si>
    <t>v_ga</t>
  </si>
  <si>
    <t>General &amp; administrative</t>
  </si>
  <si>
    <t>v_total</t>
  </si>
  <si>
    <t>Total explained</t>
  </si>
  <si>
    <t>v_check</t>
  </si>
  <si>
    <t>Total explained - (actual - frozen forecast) (must be 0)</t>
  </si>
  <si>
    <t>E. Toast's own outlook at the freeze date (Aug 5, 2025): error on the same convention (outlook / actual - 1)</t>
  </si>
  <si>
    <t>g_adj</t>
  </si>
  <si>
    <t>Adjusted EBITDA: outlook midpoint (Q3 outlook; H2 = FY outlook - H1 actual)</t>
  </si>
  <si>
    <t>g_rgp</t>
  </si>
  <si>
    <t>Non-GAAP recurring gross profit: outlook midpoint (same construction)</t>
  </si>
  <si>
    <t>g_adj_err</t>
  </si>
  <si>
    <t>Adjusted EBITDA: outlook / actual - 1</t>
  </si>
  <si>
    <t>g_rgp_err</t>
  </si>
  <si>
    <t>Recurring gross profit: outlook / actual - 1</t>
  </si>
  <si>
    <t>F. The same rules applied today (frozen at Q2'26) for H2'26, and two bias-corrected anchors for the Base case</t>
  </si>
  <si>
    <t>n_adds</t>
  </si>
  <si>
    <t>n_loc</t>
  </si>
  <si>
    <t>n_avgloc</t>
  </si>
  <si>
    <t>n_arpu</t>
  </si>
  <si>
    <t>Subscription revenue per location per month = year-ago x (1 + Q2'26 YoY growth)</t>
  </si>
  <si>
    <t>n_rev_sub</t>
  </si>
  <si>
    <t>n_gpvloc</t>
  </si>
  <si>
    <t>GPV per location = year-ago x (1 + Q2'26 YoY growth)</t>
  </si>
  <si>
    <t>n_gpv</t>
  </si>
  <si>
    <t>n_take</t>
  </si>
  <si>
    <t>Take rate = year-ago + Q2'26 YoY change</t>
  </si>
  <si>
    <t>n_cost</t>
  </si>
  <si>
    <t>Fintech cost per $ of GPV = year-ago + Q2'26 YoY change</t>
  </si>
  <si>
    <t>n_rev_fin</t>
  </si>
  <si>
    <t>n_gm_sub</t>
  </si>
  <si>
    <t>n_gp_sub</t>
  </si>
  <si>
    <t>n_gp_fin</t>
  </si>
  <si>
    <t>n_ngadd</t>
  </si>
  <si>
    <t>Non-GAAP add-backs in recurring cost of revenue = Q2'26</t>
  </si>
  <si>
    <t>n_rgp_ng</t>
  </si>
  <si>
    <t>n_hw</t>
  </si>
  <si>
    <t>n_cpa</t>
  </si>
  <si>
    <t>n_sm</t>
  </si>
  <si>
    <t>n_rd</t>
  </si>
  <si>
    <t>n_ga</t>
  </si>
  <si>
    <t>n_adj</t>
  </si>
  <si>
    <t>n_out</t>
  </si>
  <si>
    <t>Outlook-implied H2'26 Adjusted EBITDA (FY outlook midpoint - H1 actual)</t>
  </si>
  <si>
    <t>anchor_out</t>
  </si>
  <si>
    <t>Anchor 1: outlook-implied H2'26 / (1 + last year's outlook error)</t>
  </si>
  <si>
    <t>anchor_rules</t>
  </si>
  <si>
    <t>Anchor 2: frozen-rule H2'26 forecast / (1 + last year's rule error)</t>
  </si>
  <si>
    <t>base_h2</t>
  </si>
  <si>
    <t>Model H2'26 Adjusted EBITDA (active scenario)</t>
  </si>
  <si>
    <t>Scenarios &amp; sensitivity tables</t>
  </si>
  <si>
    <t>Excel data tables. Override cells must stay 0 for the main model; the tables flex them.</t>
  </si>
  <si>
    <t>Override cells (leave at 0 - the data tables below flex them)</t>
  </si>
  <si>
    <t>ScenarioOverride</t>
  </si>
  <si>
    <t>Scenario override (0 = use Inputs!Scenario)</t>
  </si>
  <si>
    <t>Sens_NetAdds</t>
  </si>
  <si>
    <t>Net new locations per quarter, shift (S&amp;M moves with it)</t>
  </si>
  <si>
    <t>Sens_TakeBps</t>
  </si>
  <si>
    <t>Take rate, level shift: pricing (fintech cost per $ unchanged)</t>
  </si>
  <si>
    <t>Sens_GPVg</t>
  </si>
  <si>
    <t>GPV per location growth, shift (each forecast year)</t>
  </si>
  <si>
    <t>Sens_FinCostBps</t>
  </si>
  <si>
    <t>Fintech cost per $ of GPV, level shift</t>
  </si>
  <si>
    <t>Scenario comparison (Excel data table: column input = ScenarioOverride)</t>
  </si>
  <si>
    <t>Scenario  /  output ($m unless stated)</t>
  </si>
  <si>
    <t>FY28E Adj. EBITDA</t>
  </si>
  <si>
    <t>FY28E free cash flow</t>
  </si>
  <si>
    <t>FY29E Adj. EBITDA</t>
  </si>
  <si>
    <t>FY29E free cash flow</t>
  </si>
  <si>
    <t>FY29E locations</t>
  </si>
  <si>
    <t>Live model (active scenario)</t>
  </si>
  <si>
    <t>FY2027E Adjusted EBITDA ($m): net new locations per quarter (rows) x take-rate pricing shift (columns)</t>
  </si>
  <si>
    <t>Rows: net-add shift per quarter (S&amp;M and hardware subsidy move with it); columns: pricing (bps of GPV)</t>
  </si>
  <si>
    <t>FY2027E Adjusted EBITDA ($m): GPV per location growth shift (rows) x fintech cost per $ of GPV shift (columns)</t>
  </si>
  <si>
    <t>Rows: GPV per location growth shift, each forecast year; columns: fintech cost shift (bps of GPV)</t>
  </si>
  <si>
    <t>Break-even: FY2027E Adjusted EBITDA minus FY2026E (finalize_excel goal-seeks Sens_GPVg to make this 0)</t>
  </si>
  <si>
    <t>FY2027E - FY2026E Adjusted EBITDA, active scenario</t>
  </si>
  <si>
    <t>Model integrity checks</t>
  </si>
  <si>
    <t>Every check must read OK.</t>
  </si>
  <si>
    <t>Check</t>
  </si>
  <si>
    <t>Max abs difference</t>
  </si>
  <si>
    <t>Tolerance</t>
  </si>
  <si>
    <t>Balance sheet balances in every quarter, actual and forecast (BS check row)</t>
  </si>
  <si>
    <t>Balance sheet balances at every year end (Annual)</t>
  </si>
  <si>
    <t>Rebuilt total assets = total assets reported in 10-Q/10-K</t>
  </si>
  <si>
    <t>Rebuilt total liabilities = total liabilities reported</t>
  </si>
  <si>
    <t>Reported total assets = reported liabilities + equity (source data integrity)</t>
  </si>
  <si>
    <t>Cash flow ending cash = balance sheet cash + restricted cash, every quarter</t>
  </si>
  <si>
    <t>Cash flow ending cash (rebuilt from flows) = cash reported in 10-Q/10-K</t>
  </si>
  <si>
    <t>Free cash flow (operating cash flow - capex, from XBRL) = free cash flow in the earnings release</t>
  </si>
  <si>
    <t>Gross profit rebuilt from revenue and cost lines = gross profit reported</t>
  </si>
  <si>
    <t>Operating expenses rebuilt = total operating expenses reported</t>
  </si>
  <si>
    <t>Operating income rebuilt = operating income reported</t>
  </si>
  <si>
    <t>Net income rebuilt (pretax - tax) = net income reported</t>
  </si>
  <si>
    <t>Sum of quarters = 10-K fiscal year: revenue, operating income, net income, operating cash flow (FY22-25; filings round to $1m)</t>
  </si>
  <si>
    <t>Revenue bridge reproduces model revenue in every year</t>
  </si>
  <si>
    <t>No Excel error values on any calculation sheet</t>
  </si>
  <si>
    <t>Forecast revenue lines and locations are positive</t>
  </si>
  <si>
    <t>Scenario switch is 1, 2 or 3</t>
  </si>
  <si>
    <t>Sensitivity override cells are all 0 (main model unshifted)</t>
  </si>
  <si>
    <t>Forecast Adjusted EBITDA (GAAP operating income + D&amp;A + SBC + other items) = non-GAAP build, every forecast quarter</t>
  </si>
  <si>
    <t>Reported Adjusted EBITDA = reported non-GAAP gross profit - non-GAAP operating expenses (Q4'22-Q2'26; six lines rounded to $1m)</t>
  </si>
  <si>
    <t>SBC, D&amp;A and other excluded items inside forecast operating expenses are not negative</t>
  </si>
  <si>
    <t>EBITDA-to-free-cash-flow bridge reproduces free cash flow in every year (Annual)</t>
  </si>
  <si>
    <t>Backtest: driver split explains the whole Adjusted EBITDA miss (Q3'25, Q4'25, H2'25)</t>
  </si>
  <si>
    <t>All checks</t>
  </si>
  <si>
    <t>Historical financials - quarterly (from Sources ledger)</t>
  </si>
  <si>
    <t>Formulas only: SUMIFS into Sources by line key and period key. Q4 = FY - 9M YTD; cash flow quarters = YTD differences.</t>
  </si>
  <si>
    <t>k3m</t>
  </si>
  <si>
    <t>Lookup key: 3 months</t>
  </si>
  <si>
    <t>text</t>
  </si>
  <si>
    <t>kytd</t>
  </si>
  <si>
    <t>Lookup key: year-to-date</t>
  </si>
  <si>
    <t>kprev</t>
  </si>
  <si>
    <t>Lookup key: prior year-to-date</t>
  </si>
  <si>
    <t>kfy</t>
  </si>
  <si>
    <t>Lookup key: fiscal year</t>
  </si>
  <si>
    <t>k9m</t>
  </si>
  <si>
    <t>Lookup key: 9 months YTD</t>
  </si>
  <si>
    <t>keop</t>
  </si>
  <si>
    <t>Lookup key: end of period</t>
  </si>
  <si>
    <t>Income statement (as reported)</t>
  </si>
  <si>
    <t>Cost of revenue - fintech</t>
  </si>
  <si>
    <t>Cost of revenue - amortization of acquired intangibles</t>
  </si>
  <si>
    <t>Interest income (expense), net</t>
  </si>
  <si>
    <t>Income (loss) before taxes</t>
  </si>
  <si>
    <t>Hardware &amp; professional services revenue (= total - subscription - fintech)</t>
  </si>
  <si>
    <t>Cost of revenue - hardware &amp; services (= total - other lines)</t>
  </si>
  <si>
    <t>Other income (expense), net (= pretax - operating income - interest)</t>
  </si>
  <si>
    <t>Cash flow statement (quarter = YTD difference)</t>
  </si>
  <si>
    <t>Capital expenditures (payments)</t>
  </si>
  <si>
    <t>buyback</t>
  </si>
  <si>
    <t>Repurchases of common stock (payments)</t>
  </si>
  <si>
    <t>Effect of exchange rates on cash</t>
  </si>
  <si>
    <t>Balance sheet (as reported)</t>
  </si>
  <si>
    <t>cash_total</t>
  </si>
  <si>
    <t>Cash, cash equivalents and restricted cash</t>
  </si>
  <si>
    <t>mkt_sec</t>
  </si>
  <si>
    <t>Restricted cash (current)</t>
  </si>
  <si>
    <t>assets_cur</t>
  </si>
  <si>
    <t>intang</t>
  </si>
  <si>
    <t>Intangible assets, net</t>
  </si>
  <si>
    <t>gw</t>
  </si>
  <si>
    <t>Goodwill</t>
  </si>
  <si>
    <t>Restricted cash (non-current)</t>
  </si>
  <si>
    <t>assets_nc</t>
  </si>
  <si>
    <t>Total non-current assets</t>
  </si>
  <si>
    <t>assets</t>
  </si>
  <si>
    <t>liab_cur</t>
  </si>
  <si>
    <t>liab</t>
  </si>
  <si>
    <t>Redeemable convertible preferred stock (pre-IPO)</t>
  </si>
  <si>
    <t>equity</t>
  </si>
  <si>
    <t>le</t>
  </si>
  <si>
    <t>Other current assets, ex restricted cash (derived)</t>
  </si>
  <si>
    <t>Other non-current assets (derived)</t>
  </si>
  <si>
    <t>Accrued &amp; other current liabilities (derived)</t>
  </si>
  <si>
    <t>Non-current liabilities (derived)</t>
  </si>
  <si>
    <t>Operating metrics (earnings releases / 10-Q text)</t>
  </si>
  <si>
    <t>Locations, end of period (approximate, as disclosed)</t>
  </si>
  <si>
    <t>Annualized recurring run-rate (ARR)</t>
  </si>
  <si>
    <t>Adjusted EBITDA (company reported)</t>
  </si>
  <si>
    <t>Free cash flow (company reported)</t>
  </si>
  <si>
    <t>ng_gp_sub</t>
  </si>
  <si>
    <t>Non-GAAP subscription gross profit (company reported)</t>
  </si>
  <si>
    <t>ng_gp_fin</t>
  </si>
  <si>
    <t>Non-GAAP fintech gross profit (company reported)</t>
  </si>
  <si>
    <t>ng_gp_hps</t>
  </si>
  <si>
    <t>Non-GAAP hardware &amp; services gross profit (company reported)</t>
  </si>
  <si>
    <t>Non-GAAP sales &amp; marketing (company reported: excl. SBC, payroll tax on equity, D&amp;A)</t>
  </si>
  <si>
    <t>Non-GAAP research &amp; development (company reported)</t>
  </si>
  <si>
    <t>Non-GAAP general &amp; administrative (company reported)</t>
  </si>
  <si>
    <t>Payments gross profit, inside fintech (company reported from 2024)</t>
  </si>
  <si>
    <t>cpi_fafh</t>
  </si>
  <si>
    <t>CPI-U food away from home, quarter average (BLS; outside reference)</t>
  </si>
  <si>
    <t>Historical financials - annual (from Sources ledger)</t>
  </si>
  <si>
    <t>Formulas only: SUMIFS into Sources.</t>
  </si>
  <si>
    <t>Lookup key: year end</t>
  </si>
  <si>
    <t>Balance sheet</t>
  </si>
  <si>
    <t>Derived</t>
  </si>
  <si>
    <t>Non-current liabilities</t>
  </si>
  <si>
    <t>Sources - historical data ledger</t>
  </si>
  <si>
    <t>Every historical number in this workbook, with XBRL tag, period, accession and document URL. Blue = as reported.</t>
  </si>
  <si>
    <t>1416 rows. XBRL rows re-pull from https://data.sec.gov/api/xbrl/companyfacts/CIK0001650164.json (us-gaap tags) or from the filing's own XBRL instance (dimensional rows). Text rows quote the sentence or table row.</t>
  </si>
  <si>
    <t>Line key</t>
  </si>
  <si>
    <t>Line item</t>
  </si>
  <si>
    <t>Period key</t>
  </si>
  <si>
    <t>Period start</t>
  </si>
  <si>
    <t>XBRL tag / source</t>
  </si>
  <si>
    <t>XBRL dimension</t>
  </si>
  <si>
    <t>Form</t>
  </si>
  <si>
    <t>Accession</t>
  </si>
  <si>
    <t>Filed</t>
  </si>
  <si>
    <t>Document URL</t>
  </si>
  <si>
    <t>Note</t>
  </si>
  <si>
    <t>FY-2020</t>
  </si>
  <si>
    <t>2020-01-01</t>
  </si>
  <si>
    <t>2020-12-31</t>
  </si>
  <si>
    <t>USD m</t>
  </si>
  <si>
    <t>us-gaap:RevenueFromContractWithCustomerExcludingAssessedTax</t>
  </si>
  <si>
    <t>srt:ProductOrServiceAxis=us-gaap:LicenseMember</t>
  </si>
  <si>
    <t>10-K</t>
  </si>
  <si>
    <t>0001650164-23-000069</t>
  </si>
  <si>
    <t>2023-03-01</t>
  </si>
  <si>
    <t>https://www.sec.gov/Archives/edgar/data/1650164/000165016423000069/tost-20221231.htm</t>
  </si>
  <si>
    <t>Value in filing: 101,000,000 USD (decimals -6)</t>
  </si>
  <si>
    <t>FY-2021</t>
  </si>
  <si>
    <t>2021-01-01</t>
  </si>
  <si>
    <t>2021-12-31</t>
  </si>
  <si>
    <t>0001650164-24-000084</t>
  </si>
  <si>
    <t>2024-02-27</t>
  </si>
  <si>
    <t>https://www.sec.gov/Archives/edgar/data/1650164/000165016424000084/tost-20231231.htm</t>
  </si>
  <si>
    <t>Value in filing: 169,000,000 USD (decimals -6)</t>
  </si>
  <si>
    <t>FY-2022</t>
  </si>
  <si>
    <t>2022-01-01</t>
  </si>
  <si>
    <t>2022-12-31</t>
  </si>
  <si>
    <t>0001650164-25-000072</t>
  </si>
  <si>
    <t>2025-02-26</t>
  </si>
  <si>
    <t>https://www.sec.gov/Archives/edgar/data/1650164/000165016425000072/tost-20241231.htm</t>
  </si>
  <si>
    <t>Value in filing: 324,000,000 USD (decimals -6)</t>
  </si>
  <si>
    <t>FY-2023</t>
  </si>
  <si>
    <t>2023-01-01</t>
  </si>
  <si>
    <t>2023-12-31</t>
  </si>
  <si>
    <t>0001650164-26-000057</t>
  </si>
  <si>
    <t>2026-02-18</t>
  </si>
  <si>
    <t>https://www.sec.gov/Archives/edgar/data/1650164/000165016426000057/tost-20251231.htm</t>
  </si>
  <si>
    <t>Value in filing: 500,000,000 USD (decimals -6)</t>
  </si>
  <si>
    <t>FY-2024</t>
  </si>
  <si>
    <t>2024-01-01</t>
  </si>
  <si>
    <t>2024-12-31</t>
  </si>
  <si>
    <t>Value in filing: 706,000,000 USD (decimals -6)</t>
  </si>
  <si>
    <t>FY-2025</t>
  </si>
  <si>
    <t>2025-01-01</t>
  </si>
  <si>
    <t>2025-12-31</t>
  </si>
  <si>
    <t>Value in filing: 936,000,000 USD (decimals -6)</t>
  </si>
  <si>
    <t>YTD9-2021</t>
  </si>
  <si>
    <t>2021-09-30</t>
  </si>
  <si>
    <t>10-Q</t>
  </si>
  <si>
    <t>0001650164-22-000142</t>
  </si>
  <si>
    <t>2022-11-14</t>
  </si>
  <si>
    <t>https://www.sec.gov/Archives/edgar/data/1650164/000165016422000142/tost-20220930.htm</t>
  </si>
  <si>
    <t>Value in filing: 115,000,000 USD (decimals -6)</t>
  </si>
  <si>
    <t>Q1-2022</t>
  </si>
  <si>
    <t>2022-03-31</t>
  </si>
  <si>
    <t>0001650164-23-000168</t>
  </si>
  <si>
    <t>2023-05-10</t>
  </si>
  <si>
    <t>https://www.sec.gov/Archives/edgar/data/1650164/000165016423000168/tost-20230331.htm</t>
  </si>
  <si>
    <t>Value in filing: 63,000,000 USD (decimals -6)</t>
  </si>
  <si>
    <t>Q2-2022</t>
  </si>
  <si>
    <t>2022-04-01</t>
  </si>
  <si>
    <t>2022-06-30</t>
  </si>
  <si>
    <t>0001650164-23-000305</t>
  </si>
  <si>
    <t>2023-08-09</t>
  </si>
  <si>
    <t>https://www.sec.gov/Archives/edgar/data/1650164/000165016423000305/tost-20230630.htm</t>
  </si>
  <si>
    <t>Value in filing: 76,000,000 USD (decimals -6)</t>
  </si>
  <si>
    <t>Q3-2022</t>
  </si>
  <si>
    <t>2022-07-01</t>
  </si>
  <si>
    <t>2022-09-30</t>
  </si>
  <si>
    <t>0001650164-23-000369</t>
  </si>
  <si>
    <t>2023-11-08</t>
  </si>
  <si>
    <t>https://www.sec.gov/Archives/edgar/data/1650164/000165016423000369/tost-20230930.htm</t>
  </si>
  <si>
    <t>Value in filing: 90,000,000 USD (decimals -6)</t>
  </si>
  <si>
    <t>YTD9-2022</t>
  </si>
  <si>
    <t>Value in filing: 230,000,000 USD (decimals -6)</t>
  </si>
  <si>
    <t>Q1-2023</t>
  </si>
  <si>
    <t>2023-03-31</t>
  </si>
  <si>
    <t>0001650164-24-000177</t>
  </si>
  <si>
    <t>2024-05-08</t>
  </si>
  <si>
    <t>https://www.sec.gov/Archives/edgar/data/1650164/000165016424000177/tost-20240331.htm</t>
  </si>
  <si>
    <t>Value in filing: 107,000,000 USD (decimals -6)</t>
  </si>
  <si>
    <t>Q2-2023</t>
  </si>
  <si>
    <t>2023-04-01</t>
  </si>
  <si>
    <t>2023-06-30</t>
  </si>
  <si>
    <t>0001650164-24-000283</t>
  </si>
  <si>
    <t>2024-08-07</t>
  </si>
  <si>
    <t>https://www.sec.gov/Archives/edgar/data/1650164/000165016424000283/tost-20240630.htm</t>
  </si>
  <si>
    <t>Value in filing: 121,000,000 USD (decimals -6)</t>
  </si>
  <si>
    <t>Q3-2023</t>
  </si>
  <si>
    <t>2023-07-01</t>
  </si>
  <si>
    <t>2023-09-30</t>
  </si>
  <si>
    <t>0001650164-24-000383</t>
  </si>
  <si>
    <t>2024-11-08</t>
  </si>
  <si>
    <t>https://www.sec.gov/Archives/edgar/data/1650164/000165016424000383/tost-20240930.htm</t>
  </si>
  <si>
    <t>Value in filing: 131,000,000 USD (decimals -6)</t>
  </si>
  <si>
    <t>YTD9-2023</t>
  </si>
  <si>
    <t>Value in filing: 358,000,000 USD (decimals -6)</t>
  </si>
  <si>
    <t>Q1-2024</t>
  </si>
  <si>
    <t>2024-03-31</t>
  </si>
  <si>
    <t>0001650164-25-000177</t>
  </si>
  <si>
    <t>2025-05-09</t>
  </si>
  <si>
    <t>https://www.sec.gov/Archives/edgar/data/1650164/000165016425000177/tost-20250331.htm</t>
  </si>
  <si>
    <t>Value in filing: 151,000,000 USD (decimals -6)</t>
  </si>
  <si>
    <t>Q2-2024</t>
  </si>
  <si>
    <t>2024-04-01</t>
  </si>
  <si>
    <t>2024-06-30</t>
  </si>
  <si>
    <t>0001650164-25-000290</t>
  </si>
  <si>
    <t>2025-08-06</t>
  </si>
  <si>
    <t>https://www.sec.gov/Archives/edgar/data/1650164/000165016425000290/tost-20250630.htm</t>
  </si>
  <si>
    <t>Value in filing: 166,000,000 USD (decimals -6)</t>
  </si>
  <si>
    <t>Q3-2024</t>
  </si>
  <si>
    <t>2024-07-01</t>
  </si>
  <si>
    <t>2024-09-30</t>
  </si>
  <si>
    <t>0001650164-25-000341</t>
  </si>
  <si>
    <t>2025-11-05</t>
  </si>
  <si>
    <t>https://www.sec.gov/Archives/edgar/data/1650164/000165016425000341/tost-20250930.htm</t>
  </si>
  <si>
    <t>Value in filing: 189,000,000 USD (decimals -6)</t>
  </si>
  <si>
    <t>YTD9-2024</t>
  </si>
  <si>
    <t>Value in filing: 506,000,000 USD (decimals -6)</t>
  </si>
  <si>
    <t>Q1-2025</t>
  </si>
  <si>
    <t>2025-03-31</t>
  </si>
  <si>
    <t>0001650164-26-000114</t>
  </si>
  <si>
    <t>2026-05-08</t>
  </si>
  <si>
    <t>https://www.sec.gov/Archives/edgar/data/1650164/000165016426000114/tost-20260331.htm</t>
  </si>
  <si>
    <t>Value in filing: 209,000,000 USD (decimals -6)</t>
  </si>
  <si>
    <t>Q2-2025</t>
  </si>
  <si>
    <t>2025-04-01</t>
  </si>
  <si>
    <t>2025-06-30</t>
  </si>
  <si>
    <t>0001650164-26-000164</t>
  </si>
  <si>
    <t>2026-08-05</t>
  </si>
  <si>
    <t>https://www.sec.gov/Archives/edgar/data/1650164/000165016426000164/tost-20260630.htm</t>
  </si>
  <si>
    <t>Value in filing: 227,000,000 USD (decimals -6)</t>
  </si>
  <si>
    <t>Q3-2025</t>
  </si>
  <si>
    <t>2025-07-01</t>
  </si>
  <si>
    <t>2025-09-30</t>
  </si>
  <si>
    <t>Value in filing: 244,000,000 USD (decimals -6)</t>
  </si>
  <si>
    <t>YTD9-2025</t>
  </si>
  <si>
    <t>Value in filing: 680,000,000 USD (decimals -6)</t>
  </si>
  <si>
    <t>Q1-2026</t>
  </si>
  <si>
    <t>2026-01-01</t>
  </si>
  <si>
    <t>2026-03-31</t>
  </si>
  <si>
    <t>Value in filing: 268,000,000 USD (decimals -6)</t>
  </si>
  <si>
    <t>Q2-2026</t>
  </si>
  <si>
    <t>2026-04-01</t>
  </si>
  <si>
    <t>2026-06-30</t>
  </si>
  <si>
    <t>Value in filing: 290,000,000 USD (decimals -6)</t>
  </si>
  <si>
    <t>srt:ProductOrServiceAxis=us-gaap:TechnologyServiceMember</t>
  </si>
  <si>
    <t>Value in filing: 644,000,000 USD (decimals -6)</t>
  </si>
  <si>
    <t>Value in filing: 1,406,000,000 USD (decimals -6)</t>
  </si>
  <si>
    <t>Value in filing: 2,268,000,000 USD (decimals -6)</t>
  </si>
  <si>
    <t>Value in filing: 3,189,000,000 USD (decimals -6)</t>
  </si>
  <si>
    <t>Value in filing: 4,053,000,000 USD (decimals -6)</t>
  </si>
  <si>
    <t>Value in filing: 5,037,000,000 USD (decimals -6)</t>
  </si>
  <si>
    <t>Value in filing: 985,000,000 USD (decimals -6)</t>
  </si>
  <si>
    <t>Value in filing: 438,000,000 USD (decimals -6)</t>
  </si>
  <si>
    <t>Value in filing: 562,000,000 USD (decimals -6)</t>
  </si>
  <si>
    <t>Value in filing: 628,000,000 USD (decimals -6)</t>
  </si>
  <si>
    <t>Value in filing: 1,628,000,000 USD (decimals -6)</t>
  </si>
  <si>
    <t>Value in filing: 673,000,000 USD (decimals -6)</t>
  </si>
  <si>
    <t>Value in filing: 808,000,000 USD (decimals -6)</t>
  </si>
  <si>
    <t>Value in filing: 856,000,000 USD (decimals -6)</t>
  </si>
  <si>
    <t>Value in filing: 2,338,000,000 USD (decimals -6)</t>
  </si>
  <si>
    <t>Value in filing: 873,000,000 USD (decimals -6)</t>
  </si>
  <si>
    <t>Value in filing: 1,023,000,000 USD (decimals -6)</t>
  </si>
  <si>
    <t>Value in filing: 1,067,000,000 USD (decimals -6)</t>
  </si>
  <si>
    <t>Value in filing: 2,963,000,000 USD (decimals -6)</t>
  </si>
  <si>
    <t>Value in filing: 1,082,000,000 USD (decimals -6)</t>
  </si>
  <si>
    <t>Value in filing: 1,276,000,000 USD (decimals -6)</t>
  </si>
  <si>
    <t>Value in filing: 1,345,000,000 USD (decimals -6)</t>
  </si>
  <si>
    <t>Value in filing: 3,703,000,000 USD (decimals -6)</t>
  </si>
  <si>
    <t>Value in filing: 1,323,000,000 USD (decimals -6)</t>
  </si>
  <si>
    <t>Value in filing: 1,570,000,000 USD (decimals -6)</t>
  </si>
  <si>
    <t>Value in filing: 823,000,000 USD (decimals -6)</t>
  </si>
  <si>
    <t>Value in filing: 1,705,000,000 USD (decimals -6)</t>
  </si>
  <si>
    <t>Value in filing: 2,731,000,000 USD (decimals -6)</t>
  </si>
  <si>
    <t>Value in filing: 3,865,000,000 USD (decimals -6)</t>
  </si>
  <si>
    <t>Value in filing: 4,960,000,000 USD (decimals -6)</t>
  </si>
  <si>
    <t>Value in filing: 6,153,000,000 USD (decimals -6)</t>
  </si>
  <si>
    <t>Value in filing: 1,193,000,000 USD (decimals -6)</t>
  </si>
  <si>
    <t>Value in filing: 535,000,000 USD (decimals -6)</t>
  </si>
  <si>
    <t>Value in filing: 675,000,000 USD (decimals -6)</t>
  </si>
  <si>
    <t>Value in filing: 752,000,000 USD (decimals -6)</t>
  </si>
  <si>
    <t>Value in filing: 1,963,000,000 USD (decimals -6)</t>
  </si>
  <si>
    <t>Value in filing: 819,000,000 USD (decimals -6)</t>
  </si>
  <si>
    <t>Value in filing: 978,000,000 USD (decimals -6)</t>
  </si>
  <si>
    <t>Value in filing: 1,032,000,000 USD (decimals -6)</t>
  </si>
  <si>
    <t>Value in filing: 2,829,000,000 USD (decimals -6)</t>
  </si>
  <si>
    <t>Value in filing: 1,075,000,000 USD (decimals -6)</t>
  </si>
  <si>
    <t>Value in filing: 1,242,000,000 USD (decimals -6)</t>
  </si>
  <si>
    <t>Value in filing: 1,305,000,000 USD (decimals -6)</t>
  </si>
  <si>
    <t>Value in filing: 3,622,000,000 USD (decimals -6)</t>
  </si>
  <si>
    <t>Value in filing: 1,337,000,000 USD (decimals -6)</t>
  </si>
  <si>
    <t>Value in filing: 1,550,000,000 USD (decimals -6)</t>
  </si>
  <si>
    <t>Value in filing: 1,633,000,000 USD (decimals -6)</t>
  </si>
  <si>
    <t>Value in filing: 4,520,000,000 USD (decimals -6)</t>
  </si>
  <si>
    <t>Value in filing: 1,630,000,000 USD (decimals -6)</t>
  </si>
  <si>
    <t>Value in filing: 1,908,000,000 USD (decimals -6)</t>
  </si>
  <si>
    <t>Cost of revenue - subscription services</t>
  </si>
  <si>
    <t>us-gaap:CostOfGoodsAndServicesSold</t>
  </si>
  <si>
    <t>Value in filing: 40,000,000 USD (decimals -6)</t>
  </si>
  <si>
    <t>Value in filing: 112,000,000 USD (decimals -6)</t>
  </si>
  <si>
    <t>Value in filing: 219,000,000 USD (decimals -6)</t>
  </si>
  <si>
    <t>Value in filing: 264,000,000 USD (decimals -6)</t>
  </si>
  <si>
    <t>Value in filing: 41,000,000 USD (decimals -6)</t>
  </si>
  <si>
    <t>Value in filing: 25,000,000 USD (decimals -6)</t>
  </si>
  <si>
    <t>Value in filing: 27,000,000 USD (decimals -6)</t>
  </si>
  <si>
    <t>Value in filing: 29,000,000 USD (decimals -6)</t>
  </si>
  <si>
    <t>Value in filing: 81,000,000 USD (decimals -6)</t>
  </si>
  <si>
    <t>Value in filing: 36,000,000 USD (decimals -6)</t>
  </si>
  <si>
    <t>Value in filing: 39,000,000 USD (decimals -6)</t>
  </si>
  <si>
    <t>Value in filing: 43,000,000 USD (decimals -6)</t>
  </si>
  <si>
    <t>Value in filing: 118,000,000 USD (decimals -6)</t>
  </si>
  <si>
    <t>Value in filing: 50,000,000 USD (decimals -6)</t>
  </si>
  <si>
    <t>Value in filing: 53,000,000 USD (decimals -6)</t>
  </si>
  <si>
    <t>Value in filing: 56,000,000 USD (decimals -6)</t>
  </si>
  <si>
    <t>Value in filing: 159,000,000 USD (decimals -6)</t>
  </si>
  <si>
    <t>Value in filing: 66,000,000 USD (decimals -6)</t>
  </si>
  <si>
    <t>Value in filing: 64,000,000 USD (decimals -6)</t>
  </si>
  <si>
    <t>Value in filing: 67,000,000 USD (decimals -6)</t>
  </si>
  <si>
    <t>Value in filing: 197,000,000 USD (decimals -6)</t>
  </si>
  <si>
    <t>Value in filing: 60,000,000 USD (decimals -6)</t>
  </si>
  <si>
    <t>Cost of revenue - financial technology solutions</t>
  </si>
  <si>
    <t>Value in filing: 509,000,000 USD (decimals -6)</t>
  </si>
  <si>
    <t>Value in filing: 1,120,000,000 USD (decimals -6)</t>
  </si>
  <si>
    <t>Value in filing: 1,792,000,000 USD (decimals -6)</t>
  </si>
  <si>
    <t>Value in filing: 2,503,000,000 USD (decimals -6)</t>
  </si>
  <si>
    <t>Value in filing: 3,175,000,000 USD (decimals -6)</t>
  </si>
  <si>
    <t>Value in filing: 3,891,000,000 USD (decimals -6)</t>
  </si>
  <si>
    <t>Value in filing: 779,000,000 USD (decimals -6)</t>
  </si>
  <si>
    <t>Value in filing: 347,000,000 USD (decimals -6)</t>
  </si>
  <si>
    <t>Value in filing: 448,000,000 USD (decimals -6)</t>
  </si>
  <si>
    <t>Value in filing: 494,000,000 USD (decimals -6)</t>
  </si>
  <si>
    <t>Value in filing: 1,289,000,000 USD (decimals -6)</t>
  </si>
  <si>
    <t>Value in filing: 523,000,000 USD (decimals -6)</t>
  </si>
  <si>
    <t>Value in filing: 631,000,000 USD (decimals -6)</t>
  </si>
  <si>
    <t>Value in filing: 674,000,000 USD (decimals -6)</t>
  </si>
  <si>
    <t>Value in filing: 1,828,000,000 USD (decimals -6)</t>
  </si>
  <si>
    <t>Value in filing: 683,000,000 USD (decimals -6)</t>
  </si>
  <si>
    <t>Value in filing: 806,000,000 USD (decimals -6)</t>
  </si>
  <si>
    <t>Value in filing: 835,000,000 USD (decimals -6)</t>
  </si>
  <si>
    <t>Value in filing: 2,323,000,000 USD (decimals -6)</t>
  </si>
  <si>
    <t>Value in filing: 831,000,000 USD (decimals -6)</t>
  </si>
  <si>
    <t>Value in filing: 992,000,000 USD (decimals -6)</t>
  </si>
  <si>
    <t>Value in filing: 2,855,000,000 USD (decimals -6)</t>
  </si>
  <si>
    <t>Value in filing: 1,011,000,000 USD (decimals -6)</t>
  </si>
  <si>
    <t>Value in filing: 1,211,000,000 USD (decimals -6)</t>
  </si>
  <si>
    <t>us-gaap:CostOfGoodsAndServicesSoldAmortization</t>
  </si>
  <si>
    <t>Value in filing: 4,000,000 USD (decimals -6)</t>
  </si>
  <si>
    <t>Value in filing: 5,000,000 USD (decimals -6)</t>
  </si>
  <si>
    <t>Value in filing: 3,000,000 USD (decimals -6)</t>
  </si>
  <si>
    <t>Value in filing: 1,000,000 USD (decimals -6)</t>
  </si>
  <si>
    <t>us-gaap:CostOfRevenue</t>
  </si>
  <si>
    <t>Value in filing: 1,391,000,000 USD (decimals -6)</t>
  </si>
  <si>
    <t>Value in filing: 2,220,000,000 USD (decimals -6)</t>
  </si>
  <si>
    <t>Value in filing: 3,031,000,000 USD (decimals -6)</t>
  </si>
  <si>
    <t>Value in filing: 3,770,000,000 USD (decimals -6)</t>
  </si>
  <si>
    <t>Value in filing: 4,560,000,000 USD (decimals -6)</t>
  </si>
  <si>
    <t>Value in filing: 952,000,000 USD (decimals -6)</t>
  </si>
  <si>
    <t>Value in filing: 446,000,000 USD (decimals -6)</t>
  </si>
  <si>
    <t>Value in filing: 601,000,000 USD (decimals -6)</t>
  </si>
  <si>
    <t>Value in filing: 1,610,000,000 USD (decimals -6)</t>
  </si>
  <si>
    <t>Value in filing: 645,000,000 USD (decimals -6)</t>
  </si>
  <si>
    <t>Value in filing: 770,000,000 USD (decimals -6)</t>
  </si>
  <si>
    <t>Value in filing: 2,221,000,000 USD (decimals -6)</t>
  </si>
  <si>
    <t>Value in filing: 826,000,000 USD (decimals -6)</t>
  </si>
  <si>
    <t>Value in filing: 956,000,000 USD (decimals -6)</t>
  </si>
  <si>
    <t>Value in filing: 983,000,000 USD (decimals -6)</t>
  </si>
  <si>
    <t>Value in filing: 2,765,000,000 USD (decimals -6)</t>
  </si>
  <si>
    <t>Value in filing: 991,000,000 USD (decimals -6)</t>
  </si>
  <si>
    <t>Value in filing: 1,158,000,000 USD (decimals -6)</t>
  </si>
  <si>
    <t>Value in filing: 1,201,000,000 USD (decimals -6)</t>
  </si>
  <si>
    <t>Value in filing: 3,350,000,000 USD (decimals -6)</t>
  </si>
  <si>
    <t>Value in filing: 1,183,000,000 USD (decimals -6)</t>
  </si>
  <si>
    <t>Value in filing: 1,392,000,000 USD (decimals -6)</t>
  </si>
  <si>
    <t>us-gaap:GrossProfit</t>
  </si>
  <si>
    <t>Value in filing: 140,000,000 USD (decimals -6)</t>
  </si>
  <si>
    <t>Value in filing: 314,000,000 USD (decimals -6)</t>
  </si>
  <si>
    <t>Value in filing: 511,000,000 USD (decimals -6)</t>
  </si>
  <si>
    <t>Value in filing: 834,000,000 USD (decimals -6)</t>
  </si>
  <si>
    <t>Value in filing: 1,190,000,000 USD (decimals -6)</t>
  </si>
  <si>
    <t>Value in filing: 1,593,000,000 USD (decimals -6)</t>
  </si>
  <si>
    <t>Value in filing: 241,000,000 USD (decimals -6)</t>
  </si>
  <si>
    <t>Value in filing: 89,000,000 USD (decimals -6)</t>
  </si>
  <si>
    <t>Value in filing: 113,000,000 USD (decimals -6)</t>
  </si>
  <si>
    <t>Value in filing: 353,000,000 USD (decimals -6)</t>
  </si>
  <si>
    <t>Value in filing: 174,000,000 USD (decimals -6)</t>
  </si>
  <si>
    <t>Value in filing: 208,000,000 USD (decimals -6)</t>
  </si>
  <si>
    <t>Value in filing: 226,000,000 USD (decimals -6)</t>
  </si>
  <si>
    <t>Value in filing: 608,000,000 USD (decimals -6)</t>
  </si>
  <si>
    <t>Value in filing: 249,000,000 USD (decimals -6)</t>
  </si>
  <si>
    <t>Value in filing: 286,000,000 USD (decimals -6)</t>
  </si>
  <si>
    <t>Value in filing: 322,000,000 USD (decimals -6)</t>
  </si>
  <si>
    <t>Value in filing: 857,000,000 USD (decimals -6)</t>
  </si>
  <si>
    <t>Value in filing: 346,000,000 USD (decimals -6)</t>
  </si>
  <si>
    <t>Value in filing: 392,000,000 USD (decimals -6)</t>
  </si>
  <si>
    <t>Value in filing: 432,000,000 USD (decimals -6)</t>
  </si>
  <si>
    <t>Value in filing: 1,170,000,000 USD (decimals -6)</t>
  </si>
  <si>
    <t>Value in filing: 447,000,000 USD (decimals -6)</t>
  </si>
  <si>
    <t>Value in filing: 516,000,000 USD (decimals -6)</t>
  </si>
  <si>
    <t>us-gaap:SellingAndMarketingExpense</t>
  </si>
  <si>
    <t>Value in filing: 138,000,000 USD (decimals -6)</t>
  </si>
  <si>
    <t>Value in filing: 190,000,000 USD (decimals -6)</t>
  </si>
  <si>
    <t>Value in filing: 319,000,000 USD (decimals -6)</t>
  </si>
  <si>
    <t>Value in filing: 401,000,000 USD (decimals -6)</t>
  </si>
  <si>
    <t>Value in filing: 470,000,000 USD (decimals -6)</t>
  </si>
  <si>
    <t>Value in filing: 571,000,000 USD (decimals -6)</t>
  </si>
  <si>
    <t>Value in filing: 130,000,000 USD (decimals -6)</t>
  </si>
  <si>
    <t>Value in filing: 71,000,000 USD (decimals -6)</t>
  </si>
  <si>
    <t>Value in filing: 77,000,000 USD (decimals -6)</t>
  </si>
  <si>
    <t>Value in filing: 84,000,000 USD (decimals -6)</t>
  </si>
  <si>
    <t>Value in filing: 232,000,000 USD (decimals -6)</t>
  </si>
  <si>
    <t>Value in filing: 99,000,000 USD (decimals -6)</t>
  </si>
  <si>
    <t>Value in filing: 100,000,000 USD (decimals -6)</t>
  </si>
  <si>
    <t>Value in filing: 299,000,000 USD (decimals -6)</t>
  </si>
  <si>
    <t>Value in filing: 119,000,000 USD (decimals -6)</t>
  </si>
  <si>
    <t>Value in filing: 340,000,000 USD (decimals -6)</t>
  </si>
  <si>
    <t>Value in filing: 133,000,000 USD (decimals -6)</t>
  </si>
  <si>
    <t>Value in filing: 141,000,000 USD (decimals -6)</t>
  </si>
  <si>
    <t>Value in filing: 144,000,000 USD (decimals -6)</t>
  </si>
  <si>
    <t>Value in filing: 418,000,000 USD (decimals -6)</t>
  </si>
  <si>
    <t>Value in filing: 156,000,000 USD (decimals -6)</t>
  </si>
  <si>
    <t>us-gaap:ResearchAndDevelopmentExpense</t>
  </si>
  <si>
    <t>Value in filing: 109,000,000 USD (decimals -6)</t>
  </si>
  <si>
    <t>Value in filing: 163,000,000 USD (decimals -6)</t>
  </si>
  <si>
    <t>Value in filing: 282,000,000 USD (decimals -6)</t>
  </si>
  <si>
    <t>Value in filing: 351,000,000 USD (decimals -6)</t>
  </si>
  <si>
    <t>Value in filing: 374,000,000 USD (decimals -6)</t>
  </si>
  <si>
    <t>Value in filing: 62,000,000 USD (decimals -6)</t>
  </si>
  <si>
    <t>Value in filing: 74,000,000 USD (decimals -6)</t>
  </si>
  <si>
    <t>Value in filing: 203,000,000 USD (decimals -6)</t>
  </si>
  <si>
    <t>Value in filing: 85,000,000 USD (decimals -6)</t>
  </si>
  <si>
    <t>Value in filing: 92,000,000 USD (decimals -6)</t>
  </si>
  <si>
    <t>Value in filing: 87,000,000 USD (decimals -6)</t>
  </si>
  <si>
    <t>Value in filing: 83,000,000 USD (decimals -6)</t>
  </si>
  <si>
    <t>Value in filing: 258,000,000 USD (decimals -6)</t>
  </si>
  <si>
    <t>Value in filing: 91,000,000 USD (decimals -6)</t>
  </si>
  <si>
    <t>Value in filing: 102,000,000 USD (decimals -6)</t>
  </si>
  <si>
    <t>Value in filing: 277,000,000 USD (decimals -6)</t>
  </si>
  <si>
    <t>Value in filing: 97,000,000 USD (decimals -6)</t>
  </si>
  <si>
    <t>us-gaap:GeneralAndAdministrativeExpense</t>
  </si>
  <si>
    <t>Value in filing: 294,000,000 USD (decimals -6)</t>
  </si>
  <si>
    <t>Value in filing: 362,000,000 USD (decimals -6)</t>
  </si>
  <si>
    <t>Value in filing: 307,000,000 USD (decimals -6)</t>
  </si>
  <si>
    <t>Value in filing: 344,000,000 USD (decimals -6)</t>
  </si>
  <si>
    <t>Value in filing: 110,000,000 USD (decimals -6)</t>
  </si>
  <si>
    <t>Value in filing: 57,000,000 USD (decimals -6)</t>
  </si>
  <si>
    <t>Value in filing: 68,000,000 USD (decimals -6)</t>
  </si>
  <si>
    <t>Value in filing: 78,000,000 USD (decimals -6)</t>
  </si>
  <si>
    <t>Value in filing: 82,000,000 USD (decimals -6)</t>
  </si>
  <si>
    <t>Value in filing: 96,000,000 USD (decimals -6)</t>
  </si>
  <si>
    <t>Value in filing: 98,000,000 USD (decimals -6)</t>
  </si>
  <si>
    <t>Value in filing: 276,000,000 USD (decimals -6)</t>
  </si>
  <si>
    <t>Value in filing: 75,000,000 USD (decimals -6)</t>
  </si>
  <si>
    <t>Value in filing: 80,000,000 USD (decimals -6)</t>
  </si>
  <si>
    <t>Value in filing: 229,000,000 USD (decimals -6)</t>
  </si>
  <si>
    <t>Value in filing: 79,000,000 USD (decimals -6)</t>
  </si>
  <si>
    <t>Value in filing: 260,000,000 USD (decimals -6)</t>
  </si>
  <si>
    <t>Restructuring expenses</t>
  </si>
  <si>
    <t>us-gaap:RestructuringCosts</t>
  </si>
  <si>
    <t>Value in filing: 0 USD (decimals -6)</t>
  </si>
  <si>
    <t>Value in filing: 46,000,000 USD (decimals -6)</t>
  </si>
  <si>
    <t>Value in filing: 12,000,000 USD (decimals -6)</t>
  </si>
  <si>
    <t>Value in filing: 7,000,000 USD (decimals -6)</t>
  </si>
  <si>
    <t>Value in filing: 8,000,000 USD (decimals -6)</t>
  </si>
  <si>
    <t>us-gaap:OperatingExpenses</t>
  </si>
  <si>
    <t>Value in filing: 360,000,000 USD (decimals -6)</t>
  </si>
  <si>
    <t>Value in filing: 542,000,000 USD (decimals -6)</t>
  </si>
  <si>
    <t>Value in filing: 895,000,000 USD (decimals -6)</t>
  </si>
  <si>
    <t>Value in filing: 1,121,000,000 USD (decimals -6)</t>
  </si>
  <si>
    <t>Value in filing: 1,174,000,000 USD (decimals -6)</t>
  </si>
  <si>
    <t>Value in filing: 1,301,000,000 USD (decimals -6)</t>
  </si>
  <si>
    <t>Value in filing: 212,000,000 USD (decimals -6)</t>
  </si>
  <si>
    <t>Value in filing: 236,000,000 USD (decimals -6)</t>
  </si>
  <si>
    <t>Value in filing: 638,000,000 USD (decimals -6)</t>
  </si>
  <si>
    <t>Value in filing: 266,000,000 USD (decimals -6)</t>
  </si>
  <si>
    <t>Value in filing: 288,000,000 USD (decimals -6)</t>
  </si>
  <si>
    <t>Value in filing: 285,000,000 USD (decimals -6)</t>
  </si>
  <si>
    <t>Value in filing: 839,000,000 USD (decimals -6)</t>
  </si>
  <si>
    <t>Value in filing: 305,000,000 USD (decimals -6)</t>
  </si>
  <si>
    <t>Value in filing: 281,000,000 USD (decimals -6)</t>
  </si>
  <si>
    <t>Value in filing: 303,000,000 USD (decimals -6)</t>
  </si>
  <si>
    <t>Value in filing: 312,000,000 USD (decimals -6)</t>
  </si>
  <si>
    <t>Value in filing: 348,000,000 USD (decimals -6)</t>
  </si>
  <si>
    <t>Value in filing: 963,000,000 USD (decimals -6)</t>
  </si>
  <si>
    <t>Value in filing: 337,000,000 USD (decimals -6)</t>
  </si>
  <si>
    <t>Value in filing: 364,000,000 USD (decimals -6)</t>
  </si>
  <si>
    <t>us-gaap:OperatingIncomeLoss</t>
  </si>
  <si>
    <t>Value in filing: -220,000,000 USD (decimals -6)</t>
  </si>
  <si>
    <t>Value in filing: -228,000,000 USD (decimals -6)</t>
  </si>
  <si>
    <t>Value in filing: -384,000,000 USD (decimals -6)</t>
  </si>
  <si>
    <t>Value in filing: -287,000,000 USD (decimals -6)</t>
  </si>
  <si>
    <t>Value in filing: 16,000,000 USD (decimals -6)</t>
  </si>
  <si>
    <t>Value in filing: 292,000,000 USD (decimals -6)</t>
  </si>
  <si>
    <t>Value in filing: -112,000,000 USD (decimals -6)</t>
  </si>
  <si>
    <t>Value in filing: -101,000,000 USD (decimals -6)</t>
  </si>
  <si>
    <t>Value in filing: -99,000,000 USD (decimals -6)</t>
  </si>
  <si>
    <t>Value in filing: -85,000,000 USD (decimals -6)</t>
  </si>
  <si>
    <t>Value in filing: -285,000,000 USD (decimals -6)</t>
  </si>
  <si>
    <t>Value in filing: -92,000,000 USD (decimals -6)</t>
  </si>
  <si>
    <t>Value in filing: -80,000,000 USD (decimals -6)</t>
  </si>
  <si>
    <t>Value in filing: -59,000,000 USD (decimals -6)</t>
  </si>
  <si>
    <t>Value in filing: -231,000,000 USD (decimals -6)</t>
  </si>
  <si>
    <t>Value in filing: -56,000,000 USD (decimals -6)</t>
  </si>
  <si>
    <t>Value in filing: 34,000,000 USD (decimals -6)</t>
  </si>
  <si>
    <t>Value in filing: -16,000,000 USD (decimals -6)</t>
  </si>
  <si>
    <t>Value in filing: 207,000,000 USD (decimals -6)</t>
  </si>
  <si>
    <t>Value in filing: 152,000,000 USD (decimals -6)</t>
  </si>
  <si>
    <t>us-gaap:InterestIncomeExpenseNet</t>
  </si>
  <si>
    <t>Value in filing: -12,000,000 USD (decimals -6)</t>
  </si>
  <si>
    <t>Value in filing: 11,000,000 USD (decimals -6)</t>
  </si>
  <si>
    <t>Value in filing: 37,000,000 USD (decimals -6)</t>
  </si>
  <si>
    <t>Value in filing: 42,000,000 USD (decimals -6)</t>
  </si>
  <si>
    <t>Value in filing: 51,000,000 USD (decimals -6)</t>
  </si>
  <si>
    <t>Value in filing: 9,000,000 USD (decimals -6)</t>
  </si>
  <si>
    <t>Value in filing: 10,000,000 USD (decimals -6)</t>
  </si>
  <si>
    <t>Value in filing: 30,000,000 USD (decimals -6)</t>
  </si>
  <si>
    <t>Value in filing: 13,000,000 USD (decimals -6)</t>
  </si>
  <si>
    <t>us-gaap:IncomeLossFromContinuingOperationsBeforeIncomeTaxesExtraordinaryItemsNoncontrollingInterest</t>
  </si>
  <si>
    <t>Value in filing: -248,000,000 USD (decimals -6)</t>
  </si>
  <si>
    <t>Value in filing: -490,000,000 USD (decimals -6)</t>
  </si>
  <si>
    <t>Value in filing: -277,000,000 USD (decimals -6)</t>
  </si>
  <si>
    <t>Value in filing: -244,000,000 USD (decimals -6)</t>
  </si>
  <si>
    <t>Value in filing: 22,000,000 USD (decimals -6)</t>
  </si>
  <si>
    <t>Value in filing: -492,000,000 USD (decimals -6)</t>
  </si>
  <si>
    <t>Value in filing: -23,000,000 USD (decimals -6)</t>
  </si>
  <si>
    <t>Value in filing: -54,000,000 USD (decimals -6)</t>
  </si>
  <si>
    <t>Value in filing: -102,000,000 USD (decimals -6)</t>
  </si>
  <si>
    <t>Value in filing: -179,000,000 USD (decimals -6)</t>
  </si>
  <si>
    <t>Value in filing: -81,000,000 USD (decimals -6)</t>
  </si>
  <si>
    <t>Value in filing: -97,000,000 USD (decimals -6)</t>
  </si>
  <si>
    <t>Value in filing: -31,000,000 USD (decimals -6)</t>
  </si>
  <si>
    <t>Value in filing: -209,000,000 USD (decimals -6)</t>
  </si>
  <si>
    <t>Value in filing: -82,000,000 USD (decimals -6)</t>
  </si>
  <si>
    <t>Value in filing: 14,000,000 USD (decimals -6)</t>
  </si>
  <si>
    <t>Value in filing: -10,000,000 USD (decimals -6)</t>
  </si>
  <si>
    <t>Value in filing: 58,000,000 USD (decimals -6)</t>
  </si>
  <si>
    <t>Value in filing: 104,000,000 USD (decimals -6)</t>
  </si>
  <si>
    <t>Value in filing: 245,000,000 USD (decimals -6)</t>
  </si>
  <si>
    <t>Value in filing: 162,000,000 USD (decimals -6)</t>
  </si>
  <si>
    <t>us-gaap:IncomeTaxExpenseBenefit</t>
  </si>
  <si>
    <t>Value in filing: -3,000,000 USD (decimals -6)</t>
  </si>
  <si>
    <t>Value in filing: -2,000,000 USD (decimals -6)</t>
  </si>
  <si>
    <t>Value in filing: 2,000,000 USD (decimals -6)</t>
  </si>
  <si>
    <t>Value in filing: -4,000,000 USD (decimals -6)</t>
  </si>
  <si>
    <t>Value in filing: -1,000,000 USD (decimals -6)</t>
  </si>
  <si>
    <t>us-gaap:NetIncomeLoss</t>
  </si>
  <si>
    <t>Value in filing: -487,000,000 USD (decimals -6)</t>
  </si>
  <si>
    <t>Value in filing: -275,000,000 USD (decimals -6)</t>
  </si>
  <si>
    <t>Value in filing: -246,000,000 USD (decimals -6)</t>
  </si>
  <si>
    <t>Value in filing: 19,000,000 USD (decimals -6)</t>
  </si>
  <si>
    <t>Value in filing: 342,000,000 USD (decimals -6)</t>
  </si>
  <si>
    <t>Value in filing: -488,000,000 USD (decimals -6)</t>
  </si>
  <si>
    <t>Value in filing: -98,000,000 USD (decimals -6)</t>
  </si>
  <si>
    <t>Value in filing: -175,000,000 USD (decimals -6)</t>
  </si>
  <si>
    <t>Value in filing: -210,000,000 USD (decimals -6)</t>
  </si>
  <si>
    <t>Value in filing: -83,000,000 USD (decimals -6)</t>
  </si>
  <si>
    <t>Value in filing: -13,000,000 USD (decimals -6)</t>
  </si>
  <si>
    <t>Value in filing: 105,000,000 USD (decimals -6)</t>
  </si>
  <si>
    <t>Value in filing: 126,000,000 USD (decimals -6)</t>
  </si>
  <si>
    <t>Value in filing: 154,000,000 USD (decimals -6)</t>
  </si>
  <si>
    <t>Depreciation and amortization (cash flow statement)</t>
  </si>
  <si>
    <t>us-gaap:DepreciationDepletionAndAmortization</t>
  </si>
  <si>
    <t>Value in filing: 21,000,000 USD (decimals -6)</t>
  </si>
  <si>
    <t>Value in filing: 24,000,000 USD (decimals -6)</t>
  </si>
  <si>
    <t>Value in filing: 32,000,000 USD (decimals -6)</t>
  </si>
  <si>
    <t>Value in filing: 6,000,000 USD (decimals -6)</t>
  </si>
  <si>
    <t>YTD6-2022</t>
  </si>
  <si>
    <t>Value in filing: 18,000,000 USD (decimals -6)</t>
  </si>
  <si>
    <t>YTD6-2023</t>
  </si>
  <si>
    <t>YTD6-2024</t>
  </si>
  <si>
    <t>Value in filing: 23,000,000 USD (decimals -6)</t>
  </si>
  <si>
    <t>Value in filing: 35,000,000 USD (decimals -6)</t>
  </si>
  <si>
    <t>YTD6-2025</t>
  </si>
  <si>
    <t>Value in filing: 48,000,000 USD (decimals -6)</t>
  </si>
  <si>
    <t>YTD6-2026</t>
  </si>
  <si>
    <t>Stock-based compensation (cash flow statement)</t>
  </si>
  <si>
    <t>us-gaap:ShareBasedCompensation</t>
  </si>
  <si>
    <t>Value in filing: 86,000,000 USD (decimals -6)</t>
  </si>
  <si>
    <t>Value in filing: 228,000,000 USD (decimals -6)</t>
  </si>
  <si>
    <t>Value in filing: 253,000,000 USD (decimals -6)</t>
  </si>
  <si>
    <t>Value in filing: 242,000,000 USD (decimals -6)</t>
  </si>
  <si>
    <t>Value in filing: 95,000,000 USD (decimals -6)</t>
  </si>
  <si>
    <t>Value in filing: 167,000,000 USD (decimals -6)</t>
  </si>
  <si>
    <t>Value in filing: 135,000,000 USD (decimals -6)</t>
  </si>
  <si>
    <t>Value in filing: 206,000,000 USD (decimals -6)</t>
  </si>
  <si>
    <t>Value in filing: 193,000,000 USD (decimals -6)</t>
  </si>
  <si>
    <t>Value in filing: 120,000,000 USD (decimals -6)</t>
  </si>
  <si>
    <t>Value in filing: 186,000,000 USD (decimals -6)</t>
  </si>
  <si>
    <t>Value in filing: 54,000,000 USD (decimals -6)</t>
  </si>
  <si>
    <t>us-gaap:NetCashProvidedByUsedInOperatingActivities</t>
  </si>
  <si>
    <t>Value in filing: -125,000,000 USD (decimals -6)</t>
  </si>
  <si>
    <t>Value in filing: -156,000,000 USD (decimals -6)</t>
  </si>
  <si>
    <t>Value in filing: 661,000,000 USD (decimals -6)</t>
  </si>
  <si>
    <t>Value in filing: 33,000,000 USD (decimals -6)</t>
  </si>
  <si>
    <t>Value in filing: -47,000,000 USD (decimals -6)</t>
  </si>
  <si>
    <t>Value in filing: -68,000,000 USD (decimals -6)</t>
  </si>
  <si>
    <t>Value in filing: -137,000,000 USD (decimals -6)</t>
  </si>
  <si>
    <t>Value in filing: -55,000,000 USD (decimals -6)</t>
  </si>
  <si>
    <t>Value in filing: -5,000,000 USD (decimals -6)</t>
  </si>
  <si>
    <t>Value in filing: -20,000,000 USD (decimals -6)</t>
  </si>
  <si>
    <t>Value in filing: 213,000,000 USD (decimals -6)</t>
  </si>
  <si>
    <t>Value in filing: 302,000,000 USD (decimals -6)</t>
  </si>
  <si>
    <t>Value in filing: 467,000,000 USD (decimals -6)</t>
  </si>
  <si>
    <t>Value in filing: 132,000,000 USD (decimals -6)</t>
  </si>
  <si>
    <t>Capital expenditures (property, equipment, capitalized software)</t>
  </si>
  <si>
    <t>us-gaap:PaymentsToAcquirePropertyPlantAndEquipment</t>
  </si>
  <si>
    <t>Value in filing: 28,000,000 USD (decimals -6)</t>
  </si>
  <si>
    <t>us-gaap:PaymentsForSoftware</t>
  </si>
  <si>
    <t>us-gaap:PaymentsToAcquireProductiveAssets</t>
  </si>
  <si>
    <t>Value in filing: 31,000,000 USD (decimals -6)</t>
  </si>
  <si>
    <t>Value in filing: 17,000,000 USD (decimals -6)</t>
  </si>
  <si>
    <t>us-gaap:NetCashProvidedByUsedInInvestingActivities</t>
  </si>
  <si>
    <t>Value in filing: -36,000,000 USD (decimals -6)</t>
  </si>
  <si>
    <t>Value in filing: -503,000,000 USD (decimals -6)</t>
  </si>
  <si>
    <t>Value in filing: -86,000,000 USD (decimals -6)</t>
  </si>
  <si>
    <t>Value in filing: -39,000,000 USD (decimals -6)</t>
  </si>
  <si>
    <t>Value in filing: -172,000,000 USD (decimals -6)</t>
  </si>
  <si>
    <t>Value in filing: -42,000,000 USD (decimals -6)</t>
  </si>
  <si>
    <t>Value in filing: -25,000,000 USD (decimals -6)</t>
  </si>
  <si>
    <t>Value in filing: -29,000,000 USD (decimals -6)</t>
  </si>
  <si>
    <t>Value in filing: -33,000,000 USD (decimals -6)</t>
  </si>
  <si>
    <t>Value in filing: -24,000,000 USD (decimals -6)</t>
  </si>
  <si>
    <t>Value in filing: -75,000,000 USD (decimals -6)</t>
  </si>
  <si>
    <t>Value in filing: -142,000,000 USD (decimals -6)</t>
  </si>
  <si>
    <t>us-gaap:PaymentsForRepurchaseOfCommonStock</t>
  </si>
  <si>
    <t>0001650164-21-000018</t>
  </si>
  <si>
    <t>2021-11-09</t>
  </si>
  <si>
    <t>https://www.sec.gov/Archives/edgar/data/1650164/000165016421000018/tost-20210930.htm</t>
  </si>
  <si>
    <t>Value in filing: 0 USD (decimals -3)</t>
  </si>
  <si>
    <t>Value in filing: 323,000,000 USD (decimals -6)</t>
  </si>
  <si>
    <t>Value in filing: 486,000,000 USD (decimals -6)</t>
  </si>
  <si>
    <t>us-gaap:NetCashProvidedByUsedInFinancingActivities</t>
  </si>
  <si>
    <t>Value in filing: 594,000,000 USD (decimals -6)</t>
  </si>
  <si>
    <t>Value in filing: 759,000,000 USD (decimals -6)</t>
  </si>
  <si>
    <t>Value in filing: 38,000,000 USD (decimals -6)</t>
  </si>
  <si>
    <t>Value in filing: 756,000,000 USD (decimals -6)</t>
  </si>
  <si>
    <t>Value in filing: 73,000,000 USD (decimals -6)</t>
  </si>
  <si>
    <t>Value in filing: 47,000,000 USD (decimals -6)</t>
  </si>
  <si>
    <t>Value in filing: 70,000,000 USD (decimals -6)</t>
  </si>
  <si>
    <t>Value in filing: -227,000,000 USD (decimals -6)</t>
  </si>
  <si>
    <t>Value in filing: -412,000,000 USD (decimals -6)</t>
  </si>
  <si>
    <t>us-gaap:EffectOfExchangeRateOnCashCashEquivalentsRestrictedCashAndRestrictedCashEquivalents</t>
  </si>
  <si>
    <t>us-gaap:EffectOfExchangeRateOnCashCashEquivalentsRestrictedCashAndRestrictedCashEquivalentsIncludingDisposalGroupAndDiscontinuedOperations</t>
  </si>
  <si>
    <t>EOP-2020-12-31</t>
  </si>
  <si>
    <t>us-gaap:CashCashEquivalentsRestrictedCashAndRestrictedCashEquivalents</t>
  </si>
  <si>
    <t>EOP-2021-12-31</t>
  </si>
  <si>
    <t>Value in filing: 851,000,000 USD (decimals -6)</t>
  </si>
  <si>
    <t>EOP-2022-03-31</t>
  </si>
  <si>
    <t>Value in filing: 830,000,000 USD (decimals -6)</t>
  </si>
  <si>
    <t>EOP-2022-06-30</t>
  </si>
  <si>
    <t>Value in filing: 783,000,000 USD (decimals -6)</t>
  </si>
  <si>
    <t>EOP-2022-09-30</t>
  </si>
  <si>
    <t>Value in filing: 724,000,000 USD (decimals -6)</t>
  </si>
  <si>
    <t>EOP-2022-12-31</t>
  </si>
  <si>
    <t>Value in filing: 635,000,000 USD (decimals -6)</t>
  </si>
  <si>
    <t>EOP-2023-03-31</t>
  </si>
  <si>
    <t>Value in filing: 586,000,000 USD (decimals -6)</t>
  </si>
  <si>
    <t>EOP-2023-06-30</t>
  </si>
  <si>
    <t>Value in filing: 622,000,000 USD (decimals -6)</t>
  </si>
  <si>
    <t>EOP-2023-09-30</t>
  </si>
  <si>
    <t>Value in filing: 650,000,000 USD (decimals -6)</t>
  </si>
  <si>
    <t>EOP-2023-12-31</t>
  </si>
  <si>
    <t>Value in filing: 747,000,000 USD (decimals -6)</t>
  </si>
  <si>
    <t>EOP-2024-03-31</t>
  </si>
  <si>
    <t>Value in filing: 771,000,000 USD (decimals -6)</t>
  </si>
  <si>
    <t>EOP-2024-06-30</t>
  </si>
  <si>
    <t>Value in filing: 864,000,000 USD (decimals -6)</t>
  </si>
  <si>
    <t>EOP-2024-09-30</t>
  </si>
  <si>
    <t>Value in filing: 944,000,000 USD (decimals -6)</t>
  </si>
  <si>
    <t>EOP-2024-12-31</t>
  </si>
  <si>
    <t>Value in filing: 1,085,000,000 USD (decimals -6)</t>
  </si>
  <si>
    <t>EOP-2025-03-31</t>
  </si>
  <si>
    <t>Value in filing: 1,259,000,000 USD (decimals -6)</t>
  </si>
  <si>
    <t>EOP-2025-06-30</t>
  </si>
  <si>
    <t>Value in filing: 1,425,000,000 USD (decimals -6)</t>
  </si>
  <si>
    <t>EOP-2025-09-30</t>
  </si>
  <si>
    <t>Value in filing: 1,605,000,000 USD (decimals -6)</t>
  </si>
  <si>
    <t>EOP-2025-12-31</t>
  </si>
  <si>
    <t>Value in filing: 1,583,000,000 USD (decimals -6)</t>
  </si>
  <si>
    <t>EOP-2026-03-31</t>
  </si>
  <si>
    <t>Value in filing: 1,413,000,000 USD (decimals -6)</t>
  </si>
  <si>
    <t>EOP-2026-06-30</t>
  </si>
  <si>
    <t>Value in filing: 1,304,000,000 USD (decimals -6)</t>
  </si>
  <si>
    <t>us-gaap:CashAndCashEquivalentsAtCarryingValue</t>
  </si>
  <si>
    <t>Value in filing: 582,000,000 USD (decimals -6)</t>
  </si>
  <si>
    <t>Value in filing: 809,000,000 USD (decimals -6)</t>
  </si>
  <si>
    <t>Value in filing: 757,000,000 USD (decimals -6)</t>
  </si>
  <si>
    <t>Value in filing: 697,000,000 USD (decimals -6)</t>
  </si>
  <si>
    <t>Value in filing: 547,000,000 USD (decimals -6)</t>
  </si>
  <si>
    <t>Value in filing: 451,000,000 USD (decimals -6)</t>
  </si>
  <si>
    <t>Value in filing: 488,000,000 USD (decimals -6)</t>
  </si>
  <si>
    <t>Value in filing: 514,000,000 USD (decimals -6)</t>
  </si>
  <si>
    <t>Value in filing: 605,000,000 USD (decimals -6)</t>
  </si>
  <si>
    <t>Value in filing: 578,000,000 USD (decimals -6)</t>
  </si>
  <si>
    <t>Value in filing: 691,000,000 USD (decimals -6)</t>
  </si>
  <si>
    <t>Value in filing: 761,000,000 USD (decimals -6)</t>
  </si>
  <si>
    <t>Value in filing: 903,000,000 USD (decimals -6)</t>
  </si>
  <si>
    <t>Value in filing: 1,005,000,000 USD (decimals -6)</t>
  </si>
  <si>
    <t>Value in filing: 1,194,000,000 USD (decimals -6)</t>
  </si>
  <si>
    <t>Value in filing: 1,357,000,000 USD (decimals -6)</t>
  </si>
  <si>
    <t>Value in filing: 1,353,000,000 USD (decimals -6)</t>
  </si>
  <si>
    <t>Value in filing: 1,098,000,000 USD (decimals -6)</t>
  </si>
  <si>
    <t>Value in filing: 1,015,000,000 USD (decimals -6)</t>
  </si>
  <si>
    <t>Marketable securities (current)</t>
  </si>
  <si>
    <t>us-gaap:AvailableForSaleSecuritiesDebtSecuritiesCurrent</t>
  </si>
  <si>
    <t>0001650164-22-000009</t>
  </si>
  <si>
    <t>2022-03-01</t>
  </si>
  <si>
    <t>https://www.sec.gov/Archives/edgar/data/1650164/000165016422000009/tost-20211231.htm</t>
  </si>
  <si>
    <t>Value in filing: 457,000,000 USD (decimals -6)</t>
  </si>
  <si>
    <t>0001650164-22-000031</t>
  </si>
  <si>
    <t>2022-05-13</t>
  </si>
  <si>
    <t>https://www.sec.gov/Archives/edgar/data/1650164/000165016422000031/tost-20220331.htm</t>
  </si>
  <si>
    <t>Value in filing: 453,000,000 USD (decimals -6)</t>
  </si>
  <si>
    <t>0001650164-22-000092</t>
  </si>
  <si>
    <t>2022-08-12</t>
  </si>
  <si>
    <t>https://www.sec.gov/Archives/edgar/data/1650164/000165016422000092/tost-20220630.htm</t>
  </si>
  <si>
    <t>Value in filing: 482,000,000 USD (decimals -6)</t>
  </si>
  <si>
    <t>Value in filing: 409,000,000 USD (decimals -6)</t>
  </si>
  <si>
    <t>Value in filing: 474,000,000 USD (decimals -6)</t>
  </si>
  <si>
    <t>Value in filing: 499,000,000 USD (decimals -6)</t>
  </si>
  <si>
    <t>Value in filing: 502,000,000 USD (decimals -6)</t>
  </si>
  <si>
    <t>us-gaap:DebtSecuritiesAvailableForSaleExcludingAccruedInterestCurrent</t>
  </si>
  <si>
    <t>Value in filing: 519,000,000 USD (decimals -6)</t>
  </si>
  <si>
    <t>Value in filing: 537,000,000 USD (decimals -6)</t>
  </si>
  <si>
    <t>Value in filing: 528,000,000 USD (decimals -6)</t>
  </si>
  <si>
    <t>Value in filing: 484,000,000 USD (decimals -6)</t>
  </si>
  <si>
    <t>Value in filing: 508,000,000 USD (decimals -6)</t>
  </si>
  <si>
    <t>Value in filing: 672,000,000 USD (decimals -6)</t>
  </si>
  <si>
    <t>Value in filing: 698,000,000 USD (decimals -6)</t>
  </si>
  <si>
    <t>us-gaap:AccountsReceivableNetCurrent</t>
  </si>
  <si>
    <t>Value in filing: 55,000,000 USD (decimals -6)</t>
  </si>
  <si>
    <t>Value in filing: 69,000,000 USD (decimals -6)</t>
  </si>
  <si>
    <t>Value in filing: 127,000,000 USD (decimals -6)</t>
  </si>
  <si>
    <t>Value in filing: 142,000,000 USD (decimals -6)</t>
  </si>
  <si>
    <t>us-gaap:InventoryNet</t>
  </si>
  <si>
    <t>Value in filing: 44,000,000 USD (decimals -6)</t>
  </si>
  <si>
    <t>Value in filing: 106,000,000 USD (decimals -6)</t>
  </si>
  <si>
    <t>Value in filing: 111,000,000 USD (decimals -6)</t>
  </si>
  <si>
    <t>Value in filing: 103,000,000 USD (decimals -6)</t>
  </si>
  <si>
    <t>Value in filing: 114,000,000 USD (decimals -6)</t>
  </si>
  <si>
    <t>Value in filing: 136,000,000 USD (decimals -6)</t>
  </si>
  <si>
    <t>Value in filing: 217,000,000 USD (decimals -6)</t>
  </si>
  <si>
    <t>Restricted cash (current, inside other current assets)</t>
  </si>
  <si>
    <t>us-gaap:RestrictedCashCurrent</t>
  </si>
  <si>
    <t>Value in filing: 72,000,000 USD (decimals -6)</t>
  </si>
  <si>
    <t>Value in filing: 61,000,000 USD (decimals -6)</t>
  </si>
  <si>
    <t>Value in filing: 123,000,000 USD (decimals -6)</t>
  </si>
  <si>
    <t>Value in filing: 187,000,000 USD (decimals -6)</t>
  </si>
  <si>
    <t>Value in filing: 168,000,000 USD (decimals -6)</t>
  </si>
  <si>
    <t>Value in filing: 172,000,000 USD (decimals -6)</t>
  </si>
  <si>
    <t>Value in filing: 216,000,000 USD (decimals -6)</t>
  </si>
  <si>
    <t>us-gaap:AssetsCurrent</t>
  </si>
  <si>
    <t>Value in filing: 1,485,000,000 USD (decimals -6)</t>
  </si>
  <si>
    <t>Value in filing: 1,477,000,000 USD (decimals -6)</t>
  </si>
  <si>
    <t>Value in filing: 1,486,000,000 USD (decimals -6)</t>
  </si>
  <si>
    <t>Value in filing: 1,402,000,000 USD (decimals -6)</t>
  </si>
  <si>
    <t>Value in filing: 1,407,000,000 USD (decimals -6)</t>
  </si>
  <si>
    <t>Value in filing: 1,408,000,000 USD (decimals -6)</t>
  </si>
  <si>
    <t>Value in filing: 1,455,000,000 USD (decimals -6)</t>
  </si>
  <si>
    <t>Value in filing: 1,480,000,000 USD (decimals -6)</t>
  </si>
  <si>
    <t>Value in filing: 1,651,000,000 USD (decimals -6)</t>
  </si>
  <si>
    <t>Value in filing: 1,739,000,000 USD (decimals -6)</t>
  </si>
  <si>
    <t>Value in filing: 1,802,000,000 USD (decimals -6)</t>
  </si>
  <si>
    <t>Value in filing: 1,975,000,000 USD (decimals -6)</t>
  </si>
  <si>
    <t>Value in filing: 2,122,000,000 USD (decimals -6)</t>
  </si>
  <si>
    <t>Value in filing: 2,317,000,000 USD (decimals -6)</t>
  </si>
  <si>
    <t>Value in filing: 2,495,000,000 USD (decimals -6)</t>
  </si>
  <si>
    <t>Value in filing: 2,669,000,000 USD (decimals -6)</t>
  </si>
  <si>
    <t>Value in filing: 2,592,000,000 USD (decimals -6)</t>
  </si>
  <si>
    <t>Value in filing: 2,650,000,000 USD (decimals -6)</t>
  </si>
  <si>
    <t>us-gaap:PropertyPlantAndEquipmentNet</t>
  </si>
  <si>
    <t>Value in filing: 45,000,000 USD (decimals -6)</t>
  </si>
  <si>
    <t>Value in filing: 93,000,000 USD (decimals -6)</t>
  </si>
  <si>
    <t>Value in filing: 149,000,000 USD (decimals -6)</t>
  </si>
  <si>
    <t>us-gaap:FiniteLivedIntangibleAssetsNet</t>
  </si>
  <si>
    <t>Value in filing: 15,000,000 USD (decimals -6)</t>
  </si>
  <si>
    <t>Value in filing: 26,000,000 USD (decimals -6)</t>
  </si>
  <si>
    <t>Value in filing: 20,000,000 USD (decimals -6)</t>
  </si>
  <si>
    <t>us-gaap:Goodwill</t>
  </si>
  <si>
    <t>us-gaap:RestrictedCashNoncurrent</t>
  </si>
  <si>
    <t>Value in filing: 49,000,000 USD (decimals -6)</t>
  </si>
  <si>
    <t>Value in filing: 59,000,000 USD (decimals -6)</t>
  </si>
  <si>
    <t>us-gaap:AssetsNoncurrent</t>
  </si>
  <si>
    <t>Value in filing: 250,000,000 USD (decimals -6)</t>
  </si>
  <si>
    <t>Value in filing: 257,000,000 USD (decimals -6)</t>
  </si>
  <si>
    <t>Value in filing: 339,000,000 USD (decimals -6)</t>
  </si>
  <si>
    <t>Value in filing: 354,000,000 USD (decimals -6)</t>
  </si>
  <si>
    <t>Value in filing: 387,000,000 USD (decimals -6)</t>
  </si>
  <si>
    <t>Value in filing: 388,000,000 USD (decimals -6)</t>
  </si>
  <si>
    <t>Value in filing: 416,000,000 USD (decimals -6)</t>
  </si>
  <si>
    <t>Value in filing: 425,000,000 USD (decimals -6)</t>
  </si>
  <si>
    <t>Value in filing: 433,000,000 USD (decimals -6)</t>
  </si>
  <si>
    <t>Value in filing: 442,000,000 USD (decimals -6)</t>
  </si>
  <si>
    <t>Value in filing: 450,000,000 USD (decimals -6)</t>
  </si>
  <si>
    <t>Value in filing: 476,000,000 USD (decimals -6)</t>
  </si>
  <si>
    <t>Value in filing: 531,000,000 USD (decimals -6)</t>
  </si>
  <si>
    <t>us-gaap:Assets</t>
  </si>
  <si>
    <t>Value in filing: 776,000,000 USD (decimals -6)</t>
  </si>
  <si>
    <t>Value in filing: 1,735,000,000 USD (decimals -6)</t>
  </si>
  <si>
    <t>Value in filing: 1,734,000,000 USD (decimals -6)</t>
  </si>
  <si>
    <t>Value in filing: 1,750,000,000 USD (decimals -6)</t>
  </si>
  <si>
    <t>Value in filing: 1,741,000,000 USD (decimals -6)</t>
  </si>
  <si>
    <t>Value in filing: 1,761,000,000 USD (decimals -6)</t>
  </si>
  <si>
    <t>Value in filing: 1,795,000,000 USD (decimals -6)</t>
  </si>
  <si>
    <t>Value in filing: 1,834,000,000 USD (decimals -6)</t>
  </si>
  <si>
    <t>Value in filing: 1,958,000,000 USD (decimals -6)</t>
  </si>
  <si>
    <t>Value in filing: 2,052,000,000 USD (decimals -6)</t>
  </si>
  <si>
    <t>Value in filing: 2,155,000,000 USD (decimals -6)</t>
  </si>
  <si>
    <t>Value in filing: 2,227,000,000 USD (decimals -6)</t>
  </si>
  <si>
    <t>Value in filing: 2,408,000,000 USD (decimals -6)</t>
  </si>
  <si>
    <t>Value in filing: 2,564,000,000 USD (decimals -6)</t>
  </si>
  <si>
    <t>Value in filing: 2,767,000,000 USD (decimals -6)</t>
  </si>
  <si>
    <t>Value in filing: 2,971,000,000 USD (decimals -6)</t>
  </si>
  <si>
    <t>Value in filing: 3,145,000,000 USD (decimals -6)</t>
  </si>
  <si>
    <t>Value in filing: 3,094,000,000 USD (decimals -6)</t>
  </si>
  <si>
    <t>Value in filing: 3,181,000,000 USD (decimals -6)</t>
  </si>
  <si>
    <t>us-gaap:AccountsPayableCurrent</t>
  </si>
  <si>
    <t>Deferred revenue (current)</t>
  </si>
  <si>
    <t>us-gaap:ContractWithCustomerLiabilityCurrent</t>
  </si>
  <si>
    <t>us-gaap:LiabilitiesCurrent</t>
  </si>
  <si>
    <t>Value in filing: 352,000,000 USD (decimals -6)</t>
  </si>
  <si>
    <t>Value in filing: 404,000,000 USD (decimals -6)</t>
  </si>
  <si>
    <t>Value in filing: 496,000,000 USD (decimals -6)</t>
  </si>
  <si>
    <t>Value in filing: 538,000,000 USD (decimals -6)</t>
  </si>
  <si>
    <t>Value in filing: 584,000,000 USD (decimals -6)</t>
  </si>
  <si>
    <t>Value in filing: 574,000,000 USD (decimals -6)</t>
  </si>
  <si>
    <t>Value in filing: 663,000,000 USD (decimals -6)</t>
  </si>
  <si>
    <t>Value in filing: 713,000,000 USD (decimals -6)</t>
  </si>
  <si>
    <t>Value in filing: 736,000,000 USD (decimals -6)</t>
  </si>
  <si>
    <t>Value in filing: 748,000,000 USD (decimals -6)</t>
  </si>
  <si>
    <t>Value in filing: 811,000,000 USD (decimals -6)</t>
  </si>
  <si>
    <t>Value in filing: 844,000,000 USD (decimals -6)</t>
  </si>
  <si>
    <t>Value in filing: 894,000,000 USD (decimals -6)</t>
  </si>
  <si>
    <t>Value in filing: 911,000,000 USD (decimals -6)</t>
  </si>
  <si>
    <t>Value in filing: 969,000,000 USD (decimals -6)</t>
  </si>
  <si>
    <t>Value in filing: 1,064,000,000 USD (decimals -6)</t>
  </si>
  <si>
    <t>Value in filing: 1,104,000,000 USD (decimals -6)</t>
  </si>
  <si>
    <t>us-gaap:Liabilities</t>
  </si>
  <si>
    <t>Value in filing: 398,000,000 USD (decimals -6)</t>
  </si>
  <si>
    <t>Value in filing: 591,000,000 USD (decimals -6)</t>
  </si>
  <si>
    <t>Value in filing: 600,000,000 USD (decimals -6)</t>
  </si>
  <si>
    <t>Value in filing: 716,000,000 USD (decimals -6)</t>
  </si>
  <si>
    <t>Value in filing: 685,000,000 USD (decimals -6)</t>
  </si>
  <si>
    <t>Value in filing: 764,000,000 USD (decimals -6)</t>
  </si>
  <si>
    <t>Value in filing: 849,000,000 USD (decimals -6)</t>
  </si>
  <si>
    <t>Value in filing: 872,000,000 USD (decimals -6)</t>
  </si>
  <si>
    <t>Value in filing: 807,000,000 USD (decimals -6)</t>
  </si>
  <si>
    <t>Value in filing: 863,000,000 USD (decimals -6)</t>
  </si>
  <si>
    <t>Value in filing: 891,000,000 USD (decimals -6)</t>
  </si>
  <si>
    <t>Value in filing: 949,000,000 USD (decimals -6)</t>
  </si>
  <si>
    <t>Value in filing: 957,000,000 USD (decimals -6)</t>
  </si>
  <si>
    <t>Value in filing: 1,021,000,000 USD (decimals -6)</t>
  </si>
  <si>
    <t>Value in filing: 1,136,000,000 USD (decimals -6)</t>
  </si>
  <si>
    <t>us-gaap:StockholdersEquity</t>
  </si>
  <si>
    <t>Value in filing: -471,000,000 USD (decimals -6)</t>
  </si>
  <si>
    <t>Value in filing: 1,091,000,000 USD (decimals -6)</t>
  </si>
  <si>
    <t>Value in filing: 1,143,000,000 USD (decimals -6)</t>
  </si>
  <si>
    <t>Value in filing: 1,150,000,000 USD (decimals -6)</t>
  </si>
  <si>
    <t>Value in filing: 1,119,000,000 USD (decimals -6)</t>
  </si>
  <si>
    <t>Value in filing: 1,079,000,000 USD (decimals -6)</t>
  </si>
  <si>
    <t>Value in filing: 1,149,000,000 USD (decimals -6)</t>
  </si>
  <si>
    <t>Value in filing: 1,203,000,000 USD (decimals -6)</t>
  </si>
  <si>
    <t>Value in filing: 1,283,000,000 USD (decimals -6)</t>
  </si>
  <si>
    <t>Value in filing: 1,420,000,000 USD (decimals -6)</t>
  </si>
  <si>
    <t>Value in filing: 1,545,000,000 USD (decimals -6)</t>
  </si>
  <si>
    <t>Value in filing: 1,673,000,000 USD (decimals -6)</t>
  </si>
  <si>
    <t>Value in filing: 1,818,000,000 USD (decimals -6)</t>
  </si>
  <si>
    <t>Value in filing: 2,014,000,000 USD (decimals -6)</t>
  </si>
  <si>
    <t>Value in filing: 2,124,000,000 USD (decimals -6)</t>
  </si>
  <si>
    <t>Value in filing: 1,990,000,000 USD (decimals -6)</t>
  </si>
  <si>
    <t>Value in filing: 2,045,000,000 USD (decimals -6)</t>
  </si>
  <si>
    <t>Redeemable convertible preferred stock (temporary equity, pre-IPO)</t>
  </si>
  <si>
    <t>us-gaap:TemporaryEquityCarryingAmountAttributableToParent</t>
  </si>
  <si>
    <t>us-gaap:LiabilitiesAndStockholdersEquity</t>
  </si>
  <si>
    <t>Q3-2020</t>
  </si>
  <si>
    <t>2020-07-01</t>
  </si>
  <si>
    <t>2020-09-30</t>
  </si>
  <si>
    <t>n/a (not in XBRL; Earnings release (8-K EX-99.1), text (prior-year comparative))</t>
  </si>
  <si>
    <t>8-K</t>
  </si>
  <si>
    <t>0001650164-21-000017</t>
  </si>
  <si>
    <t>https://www.sec.gov/Archives/edgar/data/1650164/000165016421000017/exhibit991.htm</t>
  </si>
  <si>
    <t>Quote: 3,623) 69 Adjusted EBITDA $ (9,734) $ (270) $ 4,486 $ (86,346) Non-GAAP Costs of Revenu</t>
  </si>
  <si>
    <t>Q4-2020</t>
  </si>
  <si>
    <t>2020-10-01</t>
  </si>
  <si>
    <t>0001650164-22-000004</t>
  </si>
  <si>
    <t>https://www.sec.gov/Archives/edgar/data/1650164/000165016422000004/earningsrelease.htm</t>
  </si>
  <si>
    <t>Quote: 1 — (3) — Adjusted EBITDA $ (45) $ (7) $ (42) $ (94) Non-GAAP Costs of Revenue Three Mo</t>
  </si>
  <si>
    <t>Q1-2021</t>
  </si>
  <si>
    <t>2021-03-31</t>
  </si>
  <si>
    <t>0001650164-22-000027</t>
  </si>
  <si>
    <t>https://www.sec.gov/Archives/edgar/data/1650164/000165016422000027/tost-20220331xexhibit991.htm</t>
  </si>
  <si>
    <t>Quote: ses (2) — Adjusted EBITDA $ (45) $ 4 Non-GAAP Costs of Revenue Three Months Ended March</t>
  </si>
  <si>
    <t>Q2-2021</t>
  </si>
  <si>
    <t>2021-04-01</t>
  </si>
  <si>
    <t>2021-06-30</t>
  </si>
  <si>
    <t>0001650164-22-000089</t>
  </si>
  <si>
    <t>https://www.sec.gov/Archives/edgar/data/1650164/000165016422000089/tost-20220630xexhibit991.htm</t>
  </si>
  <si>
    <t>Quote: (4) — (4) Adjusted EBITDA $ (33) $ 11 $ (78) $ 14 Non-GAAP Costs of Revenue Three Month</t>
  </si>
  <si>
    <t>Q3-2021</t>
  </si>
  <si>
    <t>2021-07-01</t>
  </si>
  <si>
    <t>n/a (not in XBRL; Earnings release (8-K EX-99.1), text)</t>
  </si>
  <si>
    <t>Q4-2021</t>
  </si>
  <si>
    <t>2021-10-01</t>
  </si>
  <si>
    <t>0001650164-22-000141</t>
  </si>
  <si>
    <t>https://www.sec.gov/Archives/edgar/data/1650164/000165016422000141/tost-20220930xexhibit991.htm</t>
  </si>
  <si>
    <t>Quote: — (4) (4) Adjusted EBITDA $ (19) $ (12) $ (97) $ 3 Non-GAAP Costs of Revenue Three Mont</t>
  </si>
  <si>
    <t>0001650164-23-000050</t>
  </si>
  <si>
    <t>https://www.sec.gov/Archives/edgar/data/1650164/000165016423000050/tost-20221231xexhibit991.htm</t>
  </si>
  <si>
    <t>Quote: 1 (2) (3) Adjusted EBITDA $ (18) $ (45) $ (115) $ (42) Non-GAAP Costs of Revenue Three</t>
  </si>
  <si>
    <t>Q4-2022</t>
  </si>
  <si>
    <t>2022-10-01</t>
  </si>
  <si>
    <t>0001650164-23-000167</t>
  </si>
  <si>
    <t>https://www.sec.gov/Archives/edgar/data/1650164/000165016423000167/tost-20230331xexhibit991.htm</t>
  </si>
  <si>
    <t>Quote: ses — (2) Adjusted EBITDA $ (17) $ (45) Non-GAAP Costs of Revenue Three Months Ended Ma</t>
  </si>
  <si>
    <t>0001650164-23-000304</t>
  </si>
  <si>
    <t>https://www.sec.gov/Archives/edgar/data/1650164/000165016423000304/tost-20230630xexhibit991.htm</t>
  </si>
  <si>
    <t>Quote: s 1 — 1 — Adjusted EBITDA $ 15 $ (33) $ (3) $ (78) Sums may not equal totals due to rou</t>
  </si>
  <si>
    <t>0001650164-23-000368</t>
  </si>
  <si>
    <t>https://www.sec.gov/Archives/edgar/data/1650164/000165016423000368/tost-20230930xexhibit9911.htm</t>
  </si>
  <si>
    <t>Quote: (4) 1 (4) Adjusted EBITDA $ 35 $ (19) $ 32 $ (97) Sums may not equal totals due to roun</t>
  </si>
  <si>
    <t>0001650164-24-000069</t>
  </si>
  <si>
    <t>https://www.sec.gov/Archives/edgar/data/1650164/000165016424000069/tost-20231231xexhibit991.htm</t>
  </si>
  <si>
    <t>Quote: 1 2 2 (2) Adjusted EBITDA $ 29 $ (18) $ 61 $ (115) Non-GAAP Costs of Revenue Three Mont</t>
  </si>
  <si>
    <t>Q4-2023</t>
  </si>
  <si>
    <t>2023-10-01</t>
  </si>
  <si>
    <t>0001650164-24-000175</t>
  </si>
  <si>
    <t>https://www.sec.gov/Archives/edgar/data/1650164/000165016424000175/tost-20240331xexhibit991.htm</t>
  </si>
  <si>
    <t>Quote: pense 1 — Adjusted EBITDA $ 57 $ (17) (1) Restructuring and restructuring-related expen</t>
  </si>
  <si>
    <t>0001650164-24-000282</t>
  </si>
  <si>
    <t>https://www.sec.gov/Archives/edgar/data/1650164/000165016424000282/tost-20240630xexhibit991.htm</t>
  </si>
  <si>
    <t>Quote: e — 1 2 1 Adjusted EBITDA $ 92 $ 15 $ 148 $ (3) (1) Restructuring and restructuring-rel</t>
  </si>
  <si>
    <t>0001650164-24-000381</t>
  </si>
  <si>
    <t>https://www.sec.gov/Archives/edgar/data/1650164/000165016424000381/tost-20240930xexhibit991.htm</t>
  </si>
  <si>
    <t>Quote: e 1 — 3 1 Adjusted EBITDA $ 113 $ 35 $ 261 $ 32 (1) Restructuring and restructuring-rel</t>
  </si>
  <si>
    <t>Q4-2024</t>
  </si>
  <si>
    <t>2024-10-01</t>
  </si>
  <si>
    <t>0001650164-26-000050</t>
  </si>
  <si>
    <t>https://www.sec.gov/Archives/edgar/data/1650164/000165016426000050/tost-20251231xexhibit991.htm</t>
  </si>
  <si>
    <t>Quote: e — — 4 3 Adjusted EBITDA $ 163 $ 111 $ 633 $ 373 (1) Restructuring and restructuring-r</t>
  </si>
  <si>
    <t>0001650164-25-000175</t>
  </si>
  <si>
    <t>https://www.sec.gov/Archives/edgar/data/1650164/000165016425000175/tost-20250331xexhibit991.htm</t>
  </si>
  <si>
    <t>Quote: pense 2 1 Adjusted EBITDA $ 133 $ 57 (1) Restructuring and restructuring-related expens</t>
  </si>
  <si>
    <t>0001650164-25-000288</t>
  </si>
  <si>
    <t>https://www.sec.gov/Archives/edgar/data/1650164/000165016425000288/tost-20250630xexhibit991.htm</t>
  </si>
  <si>
    <t>Quote: e 3 — 5 2 Adjusted EBITDA $ 161 $ 92 $ 294 $ 148 (1) Restructuring and restructuring-re</t>
  </si>
  <si>
    <t>0001650164-25-000334</t>
  </si>
  <si>
    <t>https://www.sec.gov/Archives/edgar/data/1650164/000165016425000334/tost-20250930xexhibit991.htm</t>
  </si>
  <si>
    <t>Quote: (1) 1 4 3 Adjusted EBITDA $ 176 $ 113 $ 470 $ 261 (1) Restructuring and restructuring-r</t>
  </si>
  <si>
    <t>Q4-2025</t>
  </si>
  <si>
    <t>2025-10-01</t>
  </si>
  <si>
    <t>0001650164-26-000113</t>
  </si>
  <si>
    <t>https://www.sec.gov/Archives/edgar/data/1650164/000165016426000113/tost-20260331xexhibit991.htm</t>
  </si>
  <si>
    <t>Quote: pense 5 2 Adjusted EBITDA $ 179 $ 133 (1) Restructuring expenses for the three months e</t>
  </si>
  <si>
    <t>0001650164-26-000162</t>
  </si>
  <si>
    <t>https://www.sec.gov/Archives/edgar/data/1650164/000165016426000162/tost-20260630xexhibit991.htm</t>
  </si>
  <si>
    <t>Quote: 8 3 13 5 Adjusted EBITDA $ 221 $ 161 $ 400 $ 294 (1) Restructuring expenses for the th</t>
  </si>
  <si>
    <t>Annualized Recurring Run-Rate (ARR)</t>
  </si>
  <si>
    <t>Quote: % Growth Annualized Recurring Run-Rate (AAR) $ 568 $ 326 74 % Three Months Ended December 31, Year Ended D</t>
  </si>
  <si>
    <t>EOP-2021-03-31</t>
  </si>
  <si>
    <t>Quote: % Growth Annualized Recurring Run-Rate (ARR) $ 637 $ 384 66 % Adjusted EBITDA Three Months Ended March 31,</t>
  </si>
  <si>
    <t>EOP-2021-06-30</t>
  </si>
  <si>
    <t>Quote: % Growth Annualized Recurring Run-Rate (ARR) $ 787 $ 494 59 % Adjusted EBITDA Three Months Ended June 30,</t>
  </si>
  <si>
    <t>EOP-2021-09-30</t>
  </si>
  <si>
    <t>Quote: % Growth Annualized Recurring Run-Rate (ARR) $ 868 $ 544 60 % Adjusted EBITDA Three Months Ended September</t>
  </si>
  <si>
    <t>Quote: % Growth Annualized Recurring Run-Rate (ARR) $ 901 $ 568 59 % Adjusted EBITDA Three Months Ended December</t>
  </si>
  <si>
    <t>Quote: % Growth Annualized Recurring Run-Rate (ARR) $ 987 $ 637 55 % Adjusted EBITDA Three Months Ended March 31,</t>
  </si>
  <si>
    <t>Quote: % Growth Annualized Recurring Run-Rate (ARR) $ 1,140 $ 787 45 % Adjusted EBITDA Three Months Ended June 30</t>
  </si>
  <si>
    <t>Quote: % Growth Annualized Recurring Run-Rate (ARR) $ 1,218 $ 868 40 % Adjusted EBITDA Three Months Ended Septemb</t>
  </si>
  <si>
    <t>Quote: 441 43 % Total Annualized Recurring Run-Rate (ARR) $ 1,218 $ 901 35 % Adjusted EBITDA Three Months Ended Decembe</t>
  </si>
  <si>
    <t>Quote: 484 39 % Total Annualized Recurring Run-Rate (ARR) $ 1,305 $ 987 32 % Adjusted EBITDA Three Months Ended March 3</t>
  </si>
  <si>
    <t>Quote: 542 35 % Total Annualized Recurring Run-Rate (ARR) $ 1,473 $ 1,140 29 % Adjusted EBITDA Three Months Ended June</t>
  </si>
  <si>
    <t>Quote: 587 33 % Total Annualized Recurring Run-Rate (ARR) $ 1,554 $ 1,218 28 % Adjusted EBITDA Three Months Ended Septe</t>
  </si>
  <si>
    <t>0001650164-25-000066</t>
  </si>
  <si>
    <t>https://www.sec.gov/Archives/edgar/data/1650164/000165016425000066/tost-20241231xexhibit991.htm</t>
  </si>
  <si>
    <t>Quote: 629 32 % Total Annualized Recurring Run-Rate (ARR) $ 1,626 $ 1,218 34 % Adjusted EBITDA Three Months Ended Decem</t>
  </si>
  <si>
    <t>Quote: 671 32 % Total Annualized Recurring Run-Rate (ARR) $ 1,713 $ 1,305 31 % Adjusted EBITDA Three Months Ended March</t>
  </si>
  <si>
    <t>Quote: 730 30 % Total Annualized Recurring Run-Rate (ARR) $ 1,928 $ 1,473 31 % Adjusted EBITDA Three Months Ended June</t>
  </si>
  <si>
    <t>Quote: 780 28 % Total Annualized Recurring Run-Rate (ARR) $ 2,016 $ 1,554 30 % Adjusted EBITDA Three Months Ended Septe</t>
  </si>
  <si>
    <t>Quote: 832 28 % Total Annualized Recurring Run-Rate (ARR) $ 2,047 $ 1,626 26 % Adjusted EBITDA Three Months Ended Decem</t>
  </si>
  <si>
    <t>Quote: 883 27 % Total Annualized Recurring Run-Rate (ARR) $ 2,151 $ 1,713 26 % Adjusted EBITDA Three Months Ended March</t>
  </si>
  <si>
    <t>Quote: 950 27 % Total Annualized Recurring Run-Rate (ARR) $ 2,409 $ 1,928 25 % Adjusted EBITDA Three Months Ended June</t>
  </si>
  <si>
    <t>Quote: ) (6,479) Free Cash Flow $ (21,123) $ 401 $ 17,688 $ (128,494) TOST-FIN Contacts Media</t>
  </si>
  <si>
    <t>Quote: ) (7) (8) Free Cash Flow $ (34) $ (32) $ (17) $ (161) TOST-FIN Contacts Media: media@t</t>
  </si>
  <si>
    <t>Quote: e (1) (2) Free Cash Flow $ (50) $ (13) TOST-FIN Source: Toast</t>
  </si>
  <si>
    <t>Quote: ) (5) (4) Free Cash Flow $ (30) $ 53 $ (80) $ 39 TOST-FIN Source: Toast</t>
  </si>
  <si>
    <t>Quote: (10) (6) Free Cash Flow $ (80) $ (22) $ (160) $ 17 TOST-FIN Source: Toast</t>
  </si>
  <si>
    <t>Quote: (17) (7) Free Cash Flow $ (29) $ (34) $ (189) $ (17) TOST-FIN Source: Toast</t>
  </si>
  <si>
    <t>Quote: e (8) (1) Free Cash Flow $ (65) $ (50) TOST-FIN Source: Toast</t>
  </si>
  <si>
    <t>Quote: (17) (5) Free Cash Flow $ 39 $ (30) $ (26) $ (80) TOST-FIN Source: Toast</t>
  </si>
  <si>
    <t>Quote: (27) (10) Free Cash Flow $ 37 $ (80) $ 12 $ (160) TOST-FIN Source: Toast</t>
  </si>
  <si>
    <t>Quote: (42) (33) Free cash flow $ 81 $ (29) $ 93 $ (189) Sums may not equal totals due to rou</t>
  </si>
  <si>
    <t>Quote: (13) (10) Free Cash Flow $ (33) $ (65) Sums may not equal totals due to rounding. TOST</t>
  </si>
  <si>
    <t>Quote: (29) (21) Free cash flow $ 108 $ 39 $ 75 $ (26) Sums may not equal totals due to round</t>
  </si>
  <si>
    <t>Quote: (41) (31) Free cash flow $ 97 $ 37 $ 172 $ 12 Sums may not equal totals due to roundin</t>
  </si>
  <si>
    <t>Quote: (54) (42) Free cash flow $ 134 $ 81 $ 306 $ 93 Sums may not equal totals due to roundi</t>
  </si>
  <si>
    <t>Quote: (10) (13) Free cash flow $ 69 $ (33) Sums may not equal totals due to rounding. TOST-F</t>
  </si>
  <si>
    <t>Quote: (25) (29) Free cash flow $ 208 $ 108 $ 277 $ 75 Sums may not equal totals due to round</t>
  </si>
  <si>
    <t>Quote: (37) (41) Free cash flow $ 153 $ 97 $ 430 $ 172 Sums may not equal totals due to round</t>
  </si>
  <si>
    <t>Quote: (53) (54) Free cash flow $ 178 $ 134 $ 608 $ 306 Sums may not equal totals due to roun</t>
  </si>
  <si>
    <t>Quote: (17) (10) Free cash flow $ 115 $ 69 Sums may not equal totals due to rounding. TOST-FI</t>
  </si>
  <si>
    <t>Quote: (31) (25) Free cash flow $ 130 $ 208 $ 245 $ 277 Sums may not equal totals due to roun</t>
  </si>
  <si>
    <t>Gross Payment Volume (GPV)</t>
  </si>
  <si>
    <t>USD bn</t>
  </si>
  <si>
    <t>Quote: % Growth Gross Payment Volume (GPV) $ 16.5 $ 7.4 123 % $ 39.9 $ 17.8 124 % As of September 30, (d</t>
  </si>
  <si>
    <t>Quote: % Growth Gross Payment Volume (GPV) $ 17.1 $ 7.6 125 % $ 57.0 $ 25.4 124 % As of December 31, (in</t>
  </si>
  <si>
    <t>Quote: % Growth Gross Payment Volume (GPV) $ 17.8 $ 9.0 98 % As of March 31, (dollars in millions) 2022</t>
  </si>
  <si>
    <t>Quote: % Growth Gross Payment Volume (GPV) $ 23.3 $ 14.4 62 % $ 41.1 $ 23.4 76 % As of June 30, (dollars</t>
  </si>
  <si>
    <t>Quote: % Growth Gross Payment Volume (GPV) $ 25.2 $ 16.5 53 % $ 66.3 $ 39.9 66 % As of September 30, (do</t>
  </si>
  <si>
    <t>Quote: % Growth Gross Payment Volume (GPV) $ 25.5 $ 17.1 49 % $ 91.7 $ 57.0 61 % As of December 31, (dol</t>
  </si>
  <si>
    <t>Quote: % Growth Gross Payment Volume (GPV) $ 26.7 $ 17.8 50 % As of March 31, (dollars in millions) 2023</t>
  </si>
  <si>
    <t>Quote: % Growth Gross Payment Volume (GPV) $ 32.1 $ 23.3 38 % $ 58.8 $ 41.1 43 % As of June 30, (dollars</t>
  </si>
  <si>
    <t>Quote: % Growth Gross Payment Volume (GPV) $ 33.7 $ 25.2 34 % $ 92.5 $ 66.3 40 % As of September 30, (do</t>
  </si>
  <si>
    <t>Quote: % Growth Gross Payment Volume (GPV) $ 33.7 $ 25.5 32 % $ 126.1 $ 91.7 38 % As of December 31, (do</t>
  </si>
  <si>
    <t>Quote: % Growth Gross Payment Volume (GPV) $ 34.7 $ 26.7 30 % As of March 31, (dollars in millions) 2024</t>
  </si>
  <si>
    <t>Quote: % Growth Gross Payment Volume (GPV) $ 40.5 $ 32.1 26 % $ 75.2 $ 58.8 28 % As of June 30, (dollars</t>
  </si>
  <si>
    <t>Quote: % Growth Gross Payment Volume (GPV) $ 41.7 $ 33.7 24 % $ 116.9 $ 92.5 26 % As of September 30, (d</t>
  </si>
  <si>
    <t>Quote: % Growth Gross Payment Volume (GPV) $ 42.2 $ 33.7 25 % $ 159.1 $ 126.1 26 % As of December 31, (d</t>
  </si>
  <si>
    <t>Quote: % Growth Gross Payment Volume (GPV) $ 42.2 $ 34.7 22 % As of March 31, (dollars in millions) 2025</t>
  </si>
  <si>
    <t>Quote: % Growth Gross Payment Volume (GPV) $ 49.9 $ 40.5 23 % $ 92.1 $ 75.2 22 % As of June 30, (dollars</t>
  </si>
  <si>
    <t>Quote: % Growth Gross Payment Volume (GPV) $ 51.5 $ 41.7 24 % $ 143.6 $ 116.9 23 % As of September 30, (</t>
  </si>
  <si>
    <t>Quote: % Growth Gross Payment Volume (GPV) $ 51.4 $ 42.2 22 % $ 195.1 $ 159.1 23 % As of December 31, (d</t>
  </si>
  <si>
    <t>Quote: % Growth Gross Payment Volume (GPV) $ 51.3 $ 42.2 22 % As of March 31, (dollars in millions) 2026</t>
  </si>
  <si>
    <t>Quote: % Growth Gross Payment Volume (GPV) $ 60.7 $ 49.9 22 % $ 112.0 $ 92.1 22 % As of June 30, (dollar</t>
  </si>
  <si>
    <t>guide_ebitda_high</t>
  </si>
  <si>
    <t>Q3 2023 guidance (ebitda, high) issued 2023-08-08</t>
  </si>
  <si>
    <t>n/a (not in XBRL; Earnings release (8-K EX-99.1), text (company outlook))</t>
  </si>
  <si>
    <t>Quote: Adjusted EBITDA in the range of $15 million to $25 million</t>
  </si>
  <si>
    <t>FY2023 guidance (ebitda, high) issued 2023-08-08</t>
  </si>
  <si>
    <t>FY-2023@2023-08-08</t>
  </si>
  <si>
    <t>Quote: Adjusted EBITDA in the range of $15 million to $35 million</t>
  </si>
  <si>
    <t>FY2023 guidance (ebitda, high) issued 2023-11-07</t>
  </si>
  <si>
    <t>FY-2023@2023-11-07</t>
  </si>
  <si>
    <t>Quote: Adjusted EBITDA in the range of $38 million to $48 million</t>
  </si>
  <si>
    <t>Q4 2023 guidance (ebitda, high) issued 2023-11-07</t>
  </si>
  <si>
    <t>Quote: Adjusted EBITDA in the range of $5 million to $15 million</t>
  </si>
  <si>
    <t>Q1 2024 guidance (ebitda, high) issued 2024-02-15</t>
  </si>
  <si>
    <t>Q2 2024 guidance (ebitda, high) issued 2024-05-07</t>
  </si>
  <si>
    <t>Quote: Adjusted EBITDA in the range of $55 million to $65 million</t>
  </si>
  <si>
    <t>Q3 2024 guidance (ebitda, high) issued 2024-08-06</t>
  </si>
  <si>
    <t>Quote: Adjusted EBITDA in the range of $70 million to $80 million</t>
  </si>
  <si>
    <t>FY2024 guidance (ebitda, high) issued 2024-02-15</t>
  </si>
  <si>
    <t>Quote: Adjusted EBITDA in the range of $200 million to $220 million</t>
  </si>
  <si>
    <t>FY2024 guidance (ebitda, high) issued 2024-05-07</t>
  </si>
  <si>
    <t>Quote: Adjusted EBITDA in the range of $250 million to $270 million</t>
  </si>
  <si>
    <t>FY2024 guidance (ebitda, high) issued 2024-08-06</t>
  </si>
  <si>
    <t>Quote: Adjusted EBITDA in the range of $285 million to $305 million</t>
  </si>
  <si>
    <t>FY2024 guidance (ebitda, high) issued 2024-11-07</t>
  </si>
  <si>
    <t>Quote: Adjusted EBITDA in the range of $352 million to $362 million</t>
  </si>
  <si>
    <t>Q4 2024 guidance (ebitda, high) issued 2024-11-07</t>
  </si>
  <si>
    <t>Quote: Adjusted EBITDA in the range of $90 million to $100 million</t>
  </si>
  <si>
    <t>Q1 2025 guidance (ebitda, high) issued 2025-02-19</t>
  </si>
  <si>
    <t>Quote: Adjusted EBITDA in the range of $100 million to $110 million</t>
  </si>
  <si>
    <t>Q2 2025 guidance (ebitda, high) issued 2025-05-08</t>
  </si>
  <si>
    <t>Quote: Adjusted EBITDA in the range of $130 million to $140 million</t>
  </si>
  <si>
    <t>Q3 2025 guidance (ebitda, high) issued 2025-08-05</t>
  </si>
  <si>
    <t>Quote: Adjusted EBITDA in the range of $140 million to $150 million</t>
  </si>
  <si>
    <t>FY2025 guidance (ebitda, high) issued 2025-02-19</t>
  </si>
  <si>
    <t>Quote: Adjusted EBITDA in the range of $510 million to $530 million</t>
  </si>
  <si>
    <t>FY2025 guidance (ebitda, high) issued 2025-05-08</t>
  </si>
  <si>
    <t>Quote: Adjusted EBITDA in the range of $540 million to $560 million</t>
  </si>
  <si>
    <t>FY2025 guidance (ebitda, high) issued 2025-08-05</t>
  </si>
  <si>
    <t>Quote: Adjusted EBITDA in the range of $565 million to $585 million</t>
  </si>
  <si>
    <t>FY2025 guidance (ebitda, high) issued 2025-11-04</t>
  </si>
  <si>
    <t>Quote: Adjusted EBITDA in the range of $610 million to $620 million</t>
  </si>
  <si>
    <t>Q4 2025 guidance (ebitda, high) issued 2025-11-04</t>
  </si>
  <si>
    <t>Q1 2026 guidance (ebitda, high) issued 2026-02-12</t>
  </si>
  <si>
    <t>Quote: Adjusted EBITDA in the range of $160 million to $170 million</t>
  </si>
  <si>
    <t>Q2 2026 guidance (ebitda, high) issued 2026-05-07</t>
  </si>
  <si>
    <t>Quote: Adjusted EBITDA in the range of $185 million to $195 million</t>
  </si>
  <si>
    <t>Q3 2026 guidance (ebitda, high) issued 2026-08-04</t>
  </si>
  <si>
    <t>2026-07-01</t>
  </si>
  <si>
    <t>2026-09-30</t>
  </si>
  <si>
    <t>Quote: Adjusted EBITDA in the range of $210 million to $220 million</t>
  </si>
  <si>
    <t>FY2026 guidance (ebitda, high) issued 2026-02-12</t>
  </si>
  <si>
    <t>2026-12-31</t>
  </si>
  <si>
    <t>Quote: Adjusted EBITDA in the range of $775 million to $795 million</t>
  </si>
  <si>
    <t>FY2026 guidance (ebitda, high) issued 2026-05-07</t>
  </si>
  <si>
    <t>Quote: Adjusted EBITDA in the range of $790 million to $810 million</t>
  </si>
  <si>
    <t>FY2026 guidance (ebitda, high) issued 2026-08-04</t>
  </si>
  <si>
    <t>Quote: Adjusted EBITDA in the range of $805 million to $825 million</t>
  </si>
  <si>
    <t>guide_ebitda_low</t>
  </si>
  <si>
    <t>Q3 2023 guidance (ebitda, low) issued 2023-08-08</t>
  </si>
  <si>
    <t>FY2023 guidance (ebitda, low) issued 2023-08-08</t>
  </si>
  <si>
    <t>FY2023 guidance (ebitda, low) issued 2023-11-07</t>
  </si>
  <si>
    <t>Q4 2023 guidance (ebitda, low) issued 2023-11-07</t>
  </si>
  <si>
    <t>Q1 2024 guidance (ebitda, low) issued 2024-02-15</t>
  </si>
  <si>
    <t>Q2 2024 guidance (ebitda, low) issued 2024-05-07</t>
  </si>
  <si>
    <t>Q3 2024 guidance (ebitda, low) issued 2024-08-06</t>
  </si>
  <si>
    <t>FY2024 guidance (ebitda, low) issued 2024-02-15</t>
  </si>
  <si>
    <t>FY2024 guidance (ebitda, low) issued 2024-05-07</t>
  </si>
  <si>
    <t>FY2024 guidance (ebitda, low) issued 2024-08-06</t>
  </si>
  <si>
    <t>FY2024 guidance (ebitda, low) issued 2024-11-07</t>
  </si>
  <si>
    <t>Q4 2024 guidance (ebitda, low) issued 2024-11-07</t>
  </si>
  <si>
    <t>Q1 2025 guidance (ebitda, low) issued 2025-02-19</t>
  </si>
  <si>
    <t>Q2 2025 guidance (ebitda, low) issued 2025-05-08</t>
  </si>
  <si>
    <t>Q3 2025 guidance (ebitda, low) issued 2025-08-05</t>
  </si>
  <si>
    <t>FY2025 guidance (ebitda, low) issued 2025-02-19</t>
  </si>
  <si>
    <t>FY2025 guidance (ebitda, low) issued 2025-05-08</t>
  </si>
  <si>
    <t>FY2025 guidance (ebitda, low) issued 2025-08-05</t>
  </si>
  <si>
    <t>FY2025 guidance (ebitda, low) issued 2025-11-04</t>
  </si>
  <si>
    <t>Q4 2025 guidance (ebitda, low) issued 2025-11-04</t>
  </si>
  <si>
    <t>Q1 2026 guidance (ebitda, low) issued 2026-02-12</t>
  </si>
  <si>
    <t>Q2 2026 guidance (ebitda, low) issued 2026-05-07</t>
  </si>
  <si>
    <t>Q3 2026 guidance (ebitda, low) issued 2026-08-04</t>
  </si>
  <si>
    <t>FY2026 guidance (ebitda, low) issued 2026-02-12</t>
  </si>
  <si>
    <t>FY2026 guidance (ebitda, low) issued 2026-05-07</t>
  </si>
  <si>
    <t>FY2026 guidance (ebitda, low) issued 2026-08-04</t>
  </si>
  <si>
    <t>guide_rgp_high</t>
  </si>
  <si>
    <t>Q1 2024 guidance (rgp, high) issued 2024-02-15</t>
  </si>
  <si>
    <t>Quote: Non-GAAP subscription services and financial technology solutions gross profit in the range of $275 million to $285 million</t>
  </si>
  <si>
    <t>Q2 2024 guidance (rgp, high) issued 2024-05-07</t>
  </si>
  <si>
    <t>Quote: Non-GAAP subscription services and financial technology solutions gross profit in the range of $320 million to $330 million</t>
  </si>
  <si>
    <t>Q3 2024 guidance (rgp, high) issued 2024-08-06</t>
  </si>
  <si>
    <t>Quote: Non-GAAP subscription services and financial technology solutions gross profit in the range of $345 million to $355 million</t>
  </si>
  <si>
    <t>FY2024 guidance (rgp, high) issued 2024-02-15</t>
  </si>
  <si>
    <t>Quote: Non-GAAP subscription services and financial technology solutions gross profit in the range of $1,300 million to $1,320 million</t>
  </si>
  <si>
    <t>FY2024 guidance (rgp, high) issued 2024-05-07</t>
  </si>
  <si>
    <t>Quote: Non-GAAP subscription services and financial technology solutions gross profit in the range of $1,325 million to $1,345 million</t>
  </si>
  <si>
    <t>FY2024 guidance (rgp, high) issued 2024-08-06</t>
  </si>
  <si>
    <t>Quote: Non-GAAP subscription services and financial technology solutions gross profit in the range of $1,340 million to $1,360 million</t>
  </si>
  <si>
    <t>FY2024 guidance (rgp, high) issued 2024-11-07</t>
  </si>
  <si>
    <t>Quote: Non-GAAP subscription services and financial technology solutions gross profit in the range of $1,395 million to $1,405 million</t>
  </si>
  <si>
    <t>Q4 2024 guidance (rgp, high) issued 2024-11-07</t>
  </si>
  <si>
    <t>Quote: Non-GAAP subscription services and financial technology solutions gross profit in the range of $370 million to $380 million</t>
  </si>
  <si>
    <t>Q1 2025 guidance (rgp, high) issued 2025-02-19</t>
  </si>
  <si>
    <t>Quote: Non-GAAP subscription services and financial technology solutions gross profit in the range of $385 million to $395 million</t>
  </si>
  <si>
    <t>Q2 2025 guidance (rgp, high) issued 2025-05-08</t>
  </si>
  <si>
    <t>Quote: Non-GAAP subscription services and financial technology solutions gross profit in the range of $435 million to $445 million</t>
  </si>
  <si>
    <t>Q3 2025 guidance (rgp, high) issued 2025-08-05</t>
  </si>
  <si>
    <t>Quote: Non-GAAP subscription services and financial technology solutions gross profit in the range of $465 million to $475 million</t>
  </si>
  <si>
    <t>FY2025 guidance (rgp, high) issued 2025-02-19</t>
  </si>
  <si>
    <t>Quote: Non-GAAP subscription services and financial technology solutions gross profit in the range of $1,745 million to $1,765 million</t>
  </si>
  <si>
    <t>FY2025 guidance (rgp, high) issued 2025-05-08</t>
  </si>
  <si>
    <t>Quote: Non-GAAP subscription services and financial technology solutions gross profit in the range of $1,775 million to $1,795 million</t>
  </si>
  <si>
    <t>FY2025 guidance (rgp, high) issued 2025-08-05</t>
  </si>
  <si>
    <t>Quote: Non-GAAP subscription services and financial technology solutions gross profit in the range of $1,815 million to $1,835 million</t>
  </si>
  <si>
    <t>FY2025 guidance (rgp, high) issued 2025-11-04</t>
  </si>
  <si>
    <t>Quote: Non-GAAP subscription services and financial technology solutions gross profit in the range of $1,865 million to $1,875 million</t>
  </si>
  <si>
    <t>Q4 2025 guidance (rgp, high) issued 2025-11-04</t>
  </si>
  <si>
    <t>Quote: Non-GAAP subscription services and financial technology solutions gross profit in the range of $480 million to $490 million</t>
  </si>
  <si>
    <t>Q1 2026 guidance (rgp, high) issued 2026-02-12</t>
  </si>
  <si>
    <t>Quote: Non-GAAP subscription services and financial technology solutions gross profit in the range of $505 million to $515 million</t>
  </si>
  <si>
    <t>Q2 2026 guidance (rgp, high) issued 2026-05-07</t>
  </si>
  <si>
    <t>Quote: Non-GAAP subscription services and financial technology solutions gross profit in the range of $565 million to $575 million</t>
  </si>
  <si>
    <t>Q3 2026 guidance (rgp, high) issued 2026-08-04</t>
  </si>
  <si>
    <t>Quote: Non-GAAP subscription services and financial technology solutions gross profit in the range of $615 million to $625 million</t>
  </si>
  <si>
    <t>FY2026 guidance (rgp, high) issued 2026-02-12</t>
  </si>
  <si>
    <t>Quote: Non-GAAP subscription services and financial technology solutions gross profit in the range of $2,270 million to $2,300 million</t>
  </si>
  <si>
    <t>FY2026 guidance (rgp, high) issued 2026-05-07</t>
  </si>
  <si>
    <t>Quote: Non-GAAP subscription services and financial technology solutions gross profit in the range of $2,290 million to $2,320 million</t>
  </si>
  <si>
    <t>FY2026 guidance (rgp, high) issued 2026-08-04</t>
  </si>
  <si>
    <t>Quote: Non-GAAP subscription services and financial technology solutions gross profit in the range of $2,325 million to $2,355 million</t>
  </si>
  <si>
    <t>guide_rgp_low</t>
  </si>
  <si>
    <t>Q1 2024 guidance (rgp, low) issued 2024-02-15</t>
  </si>
  <si>
    <t>Q2 2024 guidance (rgp, low) issued 2024-05-07</t>
  </si>
  <si>
    <t>Q3 2024 guidance (rgp, low) issued 2024-08-06</t>
  </si>
  <si>
    <t>FY2024 guidance (rgp, low) issued 2024-02-15</t>
  </si>
  <si>
    <t>FY2024 guidance (rgp, low) issued 2024-05-07</t>
  </si>
  <si>
    <t>FY2024 guidance (rgp, low) issued 2024-08-06</t>
  </si>
  <si>
    <t>FY2024 guidance (rgp, low) issued 2024-11-07</t>
  </si>
  <si>
    <t>Q4 2024 guidance (rgp, low) issued 2024-11-07</t>
  </si>
  <si>
    <t>Q1 2025 guidance (rgp, low) issued 2025-02-19</t>
  </si>
  <si>
    <t>Q2 2025 guidance (rgp, low) issued 2025-05-08</t>
  </si>
  <si>
    <t>Q3 2025 guidance (rgp, low) issued 2025-08-05</t>
  </si>
  <si>
    <t>FY2025 guidance (rgp, low) issued 2025-02-19</t>
  </si>
  <si>
    <t>FY2025 guidance (rgp, low) issued 2025-05-08</t>
  </si>
  <si>
    <t>FY2025 guidance (rgp, low) issued 2025-08-05</t>
  </si>
  <si>
    <t>FY2025 guidance (rgp, low) issued 2025-11-04</t>
  </si>
  <si>
    <t>Q4 2025 guidance (rgp, low) issued 2025-11-04</t>
  </si>
  <si>
    <t>Q1 2026 guidance (rgp, low) issued 2026-02-12</t>
  </si>
  <si>
    <t>Q2 2026 guidance (rgp, low) issued 2026-05-07</t>
  </si>
  <si>
    <t>Q3 2026 guidance (rgp, low) issued 2026-08-04</t>
  </si>
  <si>
    <t>FY2026 guidance (rgp, low) issued 2026-02-12</t>
  </si>
  <si>
    <t>FY2026 guidance (rgp, low) issued 2026-05-07</t>
  </si>
  <si>
    <t>FY2026 guidance (rgp, low) issued 2026-08-04</t>
  </si>
  <si>
    <t>Locations (approximate, as disclosed)</t>
  </si>
  <si>
    <t>n/a (not in XBRL; 10-K narrative text)</t>
  </si>
  <si>
    <t>Quote: As of December 31, 2021, approximately 57,000 restaurant locations</t>
  </si>
  <si>
    <t>Quote: Total locations increased nearly 45% year-over-year to approximately 62,000</t>
  </si>
  <si>
    <t>n/a (not in XBRL; 10-Q narrative text)</t>
  </si>
  <si>
    <t>Quote: As of June 30, 2022, approximately 68,000 restaurant locations</t>
  </si>
  <si>
    <t>Quote: As of September 30, 2022, approximately 74,000 restaurant locations</t>
  </si>
  <si>
    <t>Quote: Total locations increased nearly 40% year -over-year to approximately 79,000</t>
  </si>
  <si>
    <t>Quote: Total locations increased nearly 40% year-over-year to approximately 85,000,</t>
  </si>
  <si>
    <t>Quote: Total locations increased over 35% year-over-year to approximately 93,000,</t>
  </si>
  <si>
    <t>Quote: Total locations increased 34% year-over-year to approximately 99,000,</t>
  </si>
  <si>
    <t>Quote: Total Locations increased 34% year over year to approximately 106,000</t>
  </si>
  <si>
    <t>Quote: Total Locations increased 32% year over year to approximately 112,000</t>
  </si>
  <si>
    <t>Quote: Total Locations increased 29% year over year to approximately 120,000</t>
  </si>
  <si>
    <t>Quote: Total Locations increased 28% year over year to nearly 127,000</t>
  </si>
  <si>
    <t>Quote: Total Locations increased 26% year over year to approximately 134,000</t>
  </si>
  <si>
    <t>Quote: Total Locations increased 25% year over year to approximately 140,000</t>
  </si>
  <si>
    <t>Quote: Total Locations increased 24% year over year to approximately 148,000</t>
  </si>
  <si>
    <t>Quote: Total Locations increased 23% year over year to approximately 156,000</t>
  </si>
  <si>
    <t>Quote: Total Locations increased 22% year over year to approximately 164,000</t>
  </si>
  <si>
    <t>Quote: Total Locations increased 22% year over year to approximately 171,000</t>
  </si>
  <si>
    <t>Quote: Total Locations increased 22% year over year to approximately 180,000</t>
  </si>
  <si>
    <t>Non-GAAP general and administrative expenses</t>
  </si>
  <si>
    <t>Quote: 84 26,472 Non-GAAP general and administrative expenses $ 28,515 $ 11,397 $ 62,811 $ 47,086 Free Cash Flow Three Mont</t>
  </si>
  <si>
    <t>Quote: 19 — 19 — Non-GAAP general and administrative expenses $ 44 $ 15 $ 107 $ 59 Free Cash Flow Three Months Ended Decemb</t>
  </si>
  <si>
    <t>Quote: ses (2) — Non-GAAP general and administrative expenses $ 42 $ 18 Free Cash Flow Three Months Ended March 31, (dollar</t>
  </si>
  <si>
    <t>Quote: — — (2) — Non-GAAP general and administrative expenses $ 46 $ 18 $ 89 $ 36 Free Cash Flow Three Months Ended June 30</t>
  </si>
  <si>
    <t>Quote: 1 1 (1) 1 Non-GAAP general and administrative expenses $ 57 $ 28 $ 146 $ 64 Free Cash Flow Three Months Ended Septem</t>
  </si>
  <si>
    <t>Quote: $ 10 $ 19 Non-GAAP general and administrative expenses $ 61 $ 44 $ 208 $ 107 Free Cash Flow Three Months Ended Decem</t>
  </si>
  <si>
    <t>Quote: ses — (2) Non-GAAP general and administrative expenses $ 61 $ 42 Free Cash Flow Three Months Ended March 31, (dollar</t>
  </si>
  <si>
    <t>Quote: — 13 (2) Non-GAAP general and administrative expenses $ 61 $ 46 $ 122 $ 89 Free Cash Flow Three Months Ended June 3</t>
  </si>
  <si>
    <t>Quote: s — — 1 2 Non-GAAP general and administrative expenses $ 64 $ 57 $ 185 $ 146 Free Cash Flow Three Months Ended Septe</t>
  </si>
  <si>
    <t>Quote: 10 10 10 Non-GAAP general and administrative expenses $ 65 $ 61 $ 251 $ 208 Free Cash Flow Three Months Ended Decem</t>
  </si>
  <si>
    <t>Quote: ses — (1) Non-GAAP general and administrative expenses $ 56 $ 61 Free Cash Flow Three Months Ended March 31, (dollar</t>
  </si>
  <si>
    <t>Quote: — — — (1) Non-GAAP general and administrative expenses $ 55 $ 61 $ 111 $ 122 Free Cash Flow Three Months Ended June</t>
  </si>
  <si>
    <t>Quote: — — — (1) Non-GAAP general and administrative expenses $ 59 $ 64 $ 170 $ 185 Free Cash Flow Three Months Ended Septe</t>
  </si>
  <si>
    <t>Quote: (5) (10) Non-GAAP general and administrative expenses $ 59 $ 65 $ 229 $ 251 Free Cash Flow Three Months Ended Decem</t>
  </si>
  <si>
    <t>Quote: ion (1) — Non-GAAP general and administrative expenses $ 63 $ 56 Free Cash Flow Three Months Ended March 31, (dollar</t>
  </si>
  <si>
    <t>Quote: (2) — (2) Non-GAAP general and administrative expenses $ 62 $ 55 $ 125 $ 111 Free Cash Flow Three Months Ended June</t>
  </si>
  <si>
    <t>Quote: ) (6) (5) Non-GAAP general and administrative expenses $ 78 $ 59 $ 203 $ 170 Free Cash Flow Three Months Ended Septe</t>
  </si>
  <si>
    <t>Quote: — (6) (5) Non-GAAP general and administrative expenses $ 69 $ 59 $ 272 $ 229 Free Cash Flow Three Months Ended Decem</t>
  </si>
  <si>
    <t>Quote: pense — — Non-GAAP general and administrative expenses $ 69 $ 63 Free Cash Flow Three Months Ended March 31, (dollar</t>
  </si>
  <si>
    <t>Quote: — (2) (1) Non-GAAP general and administrative expenses $ 74 $ 62 $ 143 $ 125 Free Cash Flow Three Months Ended June</t>
  </si>
  <si>
    <t>Non-GAAP financial technology solutions gross profit</t>
  </si>
  <si>
    <t>Quote: n — — — — Non-GAAP financial technology solutions gross profit $ 176 $ 137 $ 686 $ 476 Non-GAAP Hardware and Professional Se</t>
  </si>
  <si>
    <t>Quote: ation — — Non-GAAP financial technology solutions gross profit $ 190 $ 150 Non-GAAP Hardware and Professional Services Gross</t>
  </si>
  <si>
    <t>Quote: n — — — — Non-GAAP financial technology solutions gross profit $ 217 $ 177 $ 408 $ 327 Non-GAAP Hardware and Professional Se</t>
  </si>
  <si>
    <t>Quote: n — — — — Non-GAAP financial technology solutions gross profit $ 232 $ 182 $ 640 $ 510 Non-GAAP Hardware and Professional Se</t>
  </si>
  <si>
    <t>Quote: n — — — — Non-GAAP financial technology solutions gross profit $ 238 $ 176 $ 878 $ 686 Non-GAAP Hardware and Professional Se</t>
  </si>
  <si>
    <t>Quote: ation — — Non-GAAP financial technology solutions gross profit $ 251 $ 190 Non-GAAP Hardware and Professional Services Gross</t>
  </si>
  <si>
    <t>Quote: n — — — — Non-GAAP financial technology solutions gross profit $ 284 $ 217 $ 535 $ 408 Non-GAAP Hardware and Professional Se</t>
  </si>
  <si>
    <t>Quote: n — — — — Non-GAAP financial technology solutions gross profit $ 313 $ 232 $ 848 $ 640 Non-GAAP Hardware and Professional Se</t>
  </si>
  <si>
    <t>Quote: n — — — — Non-GAAP financial technology solutions gross profit $ 298 $ 238 $ 1,146 $ 878 Non-GAAP Hardware and Professional</t>
  </si>
  <si>
    <t>Quote: ation — — Non-GAAP financial technology solutions gross profit $ 312 $ 251 Non-GAAP Hardware and Professional Services Gross</t>
  </si>
  <si>
    <t>Quote: n — — — — Non-GAAP financial technology solutions gross profit $ 359 $ 284 $ 671 $ 535 Non-GAAP Hardware and Professional Se</t>
  </si>
  <si>
    <t>Non-GAAP hardware and professional services gross profit</t>
  </si>
  <si>
    <t>Quote: n — — 1 1 Non-GAAP hardware and professional services gross profit $ (36) $ (35) $ (154) $ (149) Non-GAAP Non-Payments Financial</t>
  </si>
  <si>
    <t>Quote: ation — — Non-GAAP hardware and professional services gross profit $ (35) $ (40) Non-GAAP Non-Payments Financial Technology Solu</t>
  </si>
  <si>
    <t>Quote: n 1 1 1 1 Non-GAAP hardware and professional services gross profit $ (36) $ (42) $ (72) $ (81) Non-GAAP Non-Payments Financial T</t>
  </si>
  <si>
    <t>Quote: n — 1 1 2 Non-GAAP hardware and professional services gross profit $ (36) $ (36) $ (108) $ (117) Non-GAAP Non-Payments Financial</t>
  </si>
  <si>
    <t>Quote: n — — 2 1 Non-GAAP hardware and professional services gross profit $ (38) $ (36) $ (145) $ (154) Non-GAAP Non-Payments Financial</t>
  </si>
  <si>
    <t>Quote: ation — — Non-GAAP hardware and professional services gross profit $ (41) $ (35) Non-GAAP Non-Payments Financial Technology Solu</t>
  </si>
  <si>
    <t>Quote: n — 1 — 1 Non-GAAP hardware and professional services gross profit $ (48) $ (36) $ (89) $ (72) Non-GAAP Non-Payments Financial T</t>
  </si>
  <si>
    <t>Quote: n 1 — 1 1 Non-GAAP hardware and professional services gross profit $ (51) $ (36) $ (140) $ (108) Non-GAAP Non-Payments Financial</t>
  </si>
  <si>
    <t>Quote: n — — 1 2 Non-GAAP hardware and professional services gross profit $ (57) $ (38) $ (197) $ (145) Non-GAAP Non-Payments Financial</t>
  </si>
  <si>
    <t>Quote: ation — — Non-GAAP hardware and professional services gross profit $ (68) $ (41) Non-GAAP Non-Payments Financial Technology Solu</t>
  </si>
  <si>
    <t>Quote: n — — — — Non-GAAP hardware and professional services gross profit $ (64) $ (48) $ (132) $ (89) Non-GAAP Non-Payments Financial</t>
  </si>
  <si>
    <t>Non-GAAP subscription services gross profit</t>
  </si>
  <si>
    <t>Quote: 6 3 17 10 Non-GAAP subscription services gross profit $ 105 $ 70 $ 371 $ 235 Non-GAAP Financial Technology Solution</t>
  </si>
  <si>
    <t>Quote: ation 7 3 Non-GAAP subscription services gross profit $ 113 $ 79 Non-GAAP Financial Technology Solutions Gross Prof</t>
  </si>
  <si>
    <t>Quote: 8 4 14 7 Non-GAAP subscription services gross profit $ 127 $ 90 $ 239 $ 168 Non-GAAP Financial Technology Solution</t>
  </si>
  <si>
    <t>Quote: 8 5 22 11 Non-GAAP subscription services gross profit $ 146 $ 98 $ 385 $ 266 Non-GAAP Financial Technology Solution</t>
  </si>
  <si>
    <t>Quote: 9 6 32 17 Non-GAAP subscription services gross profit $ 154 $ 105 $ 539 $ 371 Non-GAAP Financial Technology Solutio</t>
  </si>
  <si>
    <t>Quote: tion 16 7 Non-GAAP subscription services gross profit $ 164 $ 113 Non-GAAP Financial Technology Solutions Gross Pro</t>
  </si>
  <si>
    <t>Quote: 3 8 29 14 Non-GAAP subscription services gross profit $ 180 $ 127 $ 344 $ 239 Non-GAAP Financial Technology Solutio</t>
  </si>
  <si>
    <t>Quote: 1 8 40 22 Non-GAAP subscription services gross profit $ 192 $ 146 $ 536 $ 385 Non-GAAP Financial Technology Solutio</t>
  </si>
  <si>
    <t>Quote: 3 9 53 32 Non-GAAP subscription services gross profit $ 205 $ 154 $ 741 $ 539 Non-GAAP Financial Technology Solutio</t>
  </si>
  <si>
    <t>Quote: tion 6 16 Non-GAAP subscription services gross profit $ 217 $ 164 Non-GAAP Financial Technology Solutions Gross Pro</t>
  </si>
  <si>
    <t>Quote: 13 13 29 Non-GAAP subscription services gross profit $ 236 $ 180 $ 453 $ 344 Non-GAAP Financial Technology Solutio</t>
  </si>
  <si>
    <t>Non-GAAP research and development expenses</t>
  </si>
  <si>
    <t>Quote: 38 19,622 Non-GAAP research and development expenses $ 31,073 $ 16,852 $ 77,840 $ 59,036 Non-GAAP General &amp; Admini</t>
  </si>
  <si>
    <t>Quote: e — — — 2 Non-GAAP research and development expenses $ 37 $ 19 $ 112 $ 76 Non-GAAP General &amp; Administrative Expens</t>
  </si>
  <si>
    <t>Quote: ation — 1 Non-GAAP research and development expenses $ 46 $ 20 Non-GAAP General and Administrative Expenses Three</t>
  </si>
  <si>
    <t>Quote: n 1 — 1 — Non-GAAP research and development expenses $ 48 $ 25 $ 94 $ 46 Non-GAAP General and Administrative Expen</t>
  </si>
  <si>
    <t>Quote: n — 1 1 2 Non-GAAP research and development expenses $ 55 $ 30 $ 149 $ 75 Non-GAAP General and Administrative Expe</t>
  </si>
  <si>
    <t>Quote: n 1 1 2 3 Non-GAAP research and development expenses $ 58 $ 37 $ 207 $ 112 Non-GAAP General and Administrative Exp</t>
  </si>
  <si>
    <t>Quote: ation 1 — Non-GAAP research and development expenses $ 62 $ 46 Non-GAAP General and Administrative Expenses Three</t>
  </si>
  <si>
    <t>Quote: n 1 1 1 1 Non-GAAP research and development expenses $ 66 $ 48 $ 128 $ 94 Non-GAAP General and Administrative Expe</t>
  </si>
  <si>
    <t>Quote: n 1 — 2 1 Non-GAAP research and development expenses $ 62 $ 55 $ 190 $ 149 Non-GAAP General and Administrative Exp</t>
  </si>
  <si>
    <t>Quote: n 1 1 4 2 Non-GAAP research and development expenses $ 68 $ 58 $ 257 $ 207 Non-GAAP General and Administrative Exp</t>
  </si>
  <si>
    <t>Quote: n (1) (1) Non-GAAP research and development expenses $ 62 $ 62 Non-GAAP General and Administrative Expenses Three</t>
  </si>
  <si>
    <t>Quote: ) (1) (1) Non-GAAP research and development expenses $ 63 $ 66 $ 125 $ 128 Non-GAAP General and Administrative Exp</t>
  </si>
  <si>
    <t>Quote: ) (2) (2) Non-GAAP research and development expenses $ 66 $ 62 $ 190 $ 190 Non-GAAP General and Administrative Exp</t>
  </si>
  <si>
    <t>Quote: ) (4) (4) Non-GAAP research and development expenses $ 69 $ 68 $ 259 $ 257 Non-GAAP General and Administrative Exp</t>
  </si>
  <si>
    <t>Quote: n (1) (1) Non-GAAP research and development expenses $ 61 $ 62 Non-GAAP General and Administrative Expenses Three</t>
  </si>
  <si>
    <t>Quote: ) (1) (1) Non-GAAP research and development expenses $ 69 $ 63 $ 130 $ 125 Non-GAAP General and Administrative Exp</t>
  </si>
  <si>
    <t>Quote: ) (1) (2) Non-GAAP research and development expenses $ 73 $ 66 $ 203 $ 190 Non-GAAP General and Administrative Exp</t>
  </si>
  <si>
    <t>Quote: ) (3) (4) Non-GAAP research and development expenses $ 74 $ 69 $ 277 $ 259 Non-GAAP General and Administrative Exp</t>
  </si>
  <si>
    <t>Quote: n (1) (1) Non-GAAP research and development expenses $ 73 $ 61 Non-GAAP General and Administrative Expenses Three</t>
  </si>
  <si>
    <t>Quote: — (2) (1) Non-GAAP research and development expenses $ 85 $ 69 $ 158 $ 130 Non-GAAP General and Administrative Exp</t>
  </si>
  <si>
    <t>Non-GAAP sales and marketing expenses</t>
  </si>
  <si>
    <t>Quote: 276 9,094 Non-GAAP sales and marketing expenses $ 46,285 $ 24,771 $ 117,204 $ 95,232 Non-GAAP Research and De</t>
  </si>
  <si>
    <t>Quote: e — — — 3 Non-GAAP sales and marketing expenses $ 48 $ 28 $ 165 $ 118 Non-GAAP Research and Development Expen</t>
  </si>
  <si>
    <t>Quote: ation 1 — Non-GAAP sales and marketing expenses $ 57 $ 31 Non-GAAP Research and Development Expenses Three Mo</t>
  </si>
  <si>
    <t>Quote: n 1 — 1 1 Non-GAAP sales and marketing expenses $ 63 $ 40 $ 121 $ 70 Non-GAAP Research and Development Expens</t>
  </si>
  <si>
    <t>Quote: n 1 — 2 — Non-GAAP sales and marketing expenses $ 71 $ 46 $ 192 $ 117 Non-GAAP Research and Development Expen</t>
  </si>
  <si>
    <t>Quote: n 1 1 3 1 Non-GAAP sales and marketing expenses $ 73 $ 48 $ 265 $ 165 Non-GAAP Research and Development Expen</t>
  </si>
  <si>
    <t>Quote: ation 1 1 Non-GAAP sales and marketing expenses $ 83 $ 57 Non-GAAP Research and Development Expenses Three Mo</t>
  </si>
  <si>
    <t>Quote: n 1 1 2 1 Non-GAAP sales and marketing expenses $ 84 $ 63 $ 167 $ 121 Non-GAAP Research and Development Expen</t>
  </si>
  <si>
    <t>Quote: n 1 1 2 2 Non-GAAP sales and marketing expenses $ 83 $ 71 $ 250 $ 192 Non-GAAP Research and Development Expen</t>
  </si>
  <si>
    <t>Quote: n 1 1 3 3 Non-GAAP sales and marketing expenses $ 86 $ 73 $ 337 $ 265 Non-GAAP Research and Development Expen</t>
  </si>
  <si>
    <t>Quote: n (1) (1) Non-GAAP sales and marketing expenses $ 93 $ 83 Non-GAAP Research and Development Expenses Three Mo</t>
  </si>
  <si>
    <t>Quote: ) (2) (2) Non-GAAP sales and marketing expenses $ 97 $ 84 $ 191 $ 167 Non-GAAP Research and Development Expen</t>
  </si>
  <si>
    <t>Quote: ) (2) (2) Non-GAAP sales and marketing expenses $ 105 $ 83 $ 295 $ 250 Non-GAAP Research and Development Expe</t>
  </si>
  <si>
    <t>Quote: ) (3) (3) Non-GAAP sales and marketing expenses $ 114 $ 86 $ 409 $ 337 Non-GAAP Research and Development Expe</t>
  </si>
  <si>
    <t>Quote: ion — (1) Non-GAAP sales and marketing expenses $ 117 $ 93 Non-GAAP Research and Development Expenses Three M</t>
  </si>
  <si>
    <t>Quote: ) (2) (2) Non-GAAP sales and marketing expenses $ 124 $ 97 $ 241 $ 191 Non-GAAP Research and Development Expe</t>
  </si>
  <si>
    <t>Quote: ) (3) (2) Non-GAAP sales and marketing expenses $ 128 $ 105 $ 369 $ 295 Non-GAAP Research and Development Exp</t>
  </si>
  <si>
    <t>Quote: ) (3) (3) Non-GAAP sales and marketing expenses $ 139 $ 114 $ 508 $ 409 Non-GAAP Research and Development Exp</t>
  </si>
  <si>
    <t>Quote: ion (1) — Non-GAAP sales and marketing expenses $ 141 $ 117 Non-GAAP Research and Development Expenses Three</t>
  </si>
  <si>
    <t>Quote: ) (1) (2) Non-GAAP sales and marketing expenses $ 152 $ 124 $ 293 $ 241 Non-GAAP Research and Development Exp</t>
  </si>
  <si>
    <t>Payments financial technology solutions gross profit</t>
  </si>
  <si>
    <t>Quote: 190 $ 150 Payments financial technology solutions gross profit (156) (124) Non-GAAP non-payments financial technology solu</t>
  </si>
  <si>
    <t>Quote: 408 $ 327 Payments financial technology solutions gross profit (183) (145) (340) (270) Non-GAAP non-payments financial tec</t>
  </si>
  <si>
    <t>Quote: 640 $ 510 Payments financial technology solutions gross profit (189) (148) (529) (418) Non-GAAP non-payments financial tec</t>
  </si>
  <si>
    <t>Quote: 878 $ 686 Payments financial technology solutions gross profit (195) (142) (726) (561) Non-GAAP non-payments financial tec</t>
  </si>
  <si>
    <t>Quote: 251 $ 190 Payments financial technology solutions gross profit (204) (156) Non-GAAP non-payments financial technology solu</t>
  </si>
  <si>
    <t>Quote: 535 $ 408 Payments financial technology solutions gross profit (244) (183) (448) (340) Non-GAAP non-payments financial tec</t>
  </si>
  <si>
    <t>Quote: 848 $ 640 Payments financial technology solutions gross profit (255) (189) (703) (529) Non-GAAP non-payments financial tec</t>
  </si>
  <si>
    <t>Quote: 146 $ 878 Payments financial technology solutions gross profit (247) (195) (950) (726) Non-GAAP non-payments financial tec</t>
  </si>
  <si>
    <t>Quote: 312 $ 251 Payments financial technology solutions gross profit (261) (204) Non-GAAP non-payments financial technology solu</t>
  </si>
  <si>
    <t>Quote: 671 $ 535 Payments financial technology solutions gross profit (302) (244) (563) (448) Non-GAAP non-payments financial tec</t>
  </si>
  <si>
    <t>CPI-U food away from home (index, quarter average)</t>
  </si>
  <si>
    <t>Q1-2020</t>
  </si>
  <si>
    <t>2020-03-31</t>
  </si>
  <si>
    <t>n/a (not in XBRL; BLS CPI-U, public API)</t>
  </si>
  <si>
    <t>BLS</t>
  </si>
  <si>
    <t>CUUR0000SEFV</t>
  </si>
  <si>
    <t>https://data.bls.gov/timeseries/CUUR0000SEFV</t>
  </si>
  <si>
    <t>Quote: Average of monthly index values [289.137, 289.781, 290.216]</t>
  </si>
  <si>
    <t>Q2-2020</t>
  </si>
  <si>
    <t>2020-04-01</t>
  </si>
  <si>
    <t>2020-06-30</t>
  </si>
  <si>
    <t>Quote: Average of monthly index values [290.639, 291.709, 293.219]</t>
  </si>
  <si>
    <t>Quote: Average of monthly index values [294.599, 295.437, 297.08]</t>
  </si>
  <si>
    <t>Quote: Average of monthly index values [297.893, 298.253, 299.369]</t>
  </si>
  <si>
    <t>CPI-U food away from home (index, annual average)</t>
  </si>
  <si>
    <t>Quote: Mean of the 12 published monthly values for 2020: 293.944</t>
  </si>
  <si>
    <t>Quote: Average of monthly index values [300.382, 300.54, 300.897]</t>
  </si>
  <si>
    <t>Quote: Average of monthly index values [301.819, 303.481, 305.634]</t>
  </si>
  <si>
    <t>Quote: Average of monthly index values [308.023, 309.336, 310.996]</t>
  </si>
  <si>
    <t>Quote: Average of monthly index values [313.592, 315.481, 317.372]</t>
  </si>
  <si>
    <t>Quote: Mean of the 12 published monthly values for 2021: 307.296</t>
  </si>
  <si>
    <t>Quote: Average of monthly index values [319.471, 320.88, 321.689]</t>
  </si>
  <si>
    <t>Quote: Average of monthly index values [323.559, 325.952, 329.033]</t>
  </si>
  <si>
    <t>Quote: Average of monthly index values [331.342, 334.212, 337.369]</t>
  </si>
  <si>
    <t>Quote: Average of monthly index values [340.532, 342.266, 343.559]</t>
  </si>
  <si>
    <t>Quote: Mean of the 12 published monthly values for 2022: 330.822</t>
  </si>
  <si>
    <t>Quote: Average of monthly index values [345.677, 347.869, 349.944]</t>
  </si>
  <si>
    <t>Quote: Average of monthly index values [351.237, 352.892, 354.245]</t>
  </si>
  <si>
    <t>Quote: Average of monthly index values [354.862, 356.083, 357.488]</t>
  </si>
  <si>
    <t>Quote: Average of monthly index values [358.824, 360.383, 361.564]</t>
  </si>
  <si>
    <t>Quote: Mean of the 12 published monthly values for 2023: 354.256</t>
  </si>
  <si>
    <t>Quote: Average of monthly index values [363.249, 363.596, 364.546]</t>
  </si>
  <si>
    <t>Quote: Average of monthly index values [365.813, 367.099, 368.616]</t>
  </si>
  <si>
    <t>Quote: Average of monthly index values [369.383, 370.348, 371.604]</t>
  </si>
  <si>
    <t>Quote: Average of monthly index values [372.486, 373.53, 374.644]</t>
  </si>
  <si>
    <t>Quote: Mean of the 12 published monthly values for 2024: 368.743</t>
  </si>
  <si>
    <t>Quote: Average of monthly index values [375.532, 376.991, 378.363]</t>
  </si>
  <si>
    <t>Quote: Average of monthly index values [380.039, 381.228, 382.75]</t>
  </si>
  <si>
    <t>Quote: Average of monthly index values [383.808, 384.909, 385.451]</t>
  </si>
  <si>
    <t>Quote: Average of monthly index values [387.202, 389.889] (only months [11, 12]; BLS did not publish the others)</t>
  </si>
  <si>
    <t>Quote: Mean of the 11 published monthly values for 2025: 382.378</t>
  </si>
  <si>
    <t>Quote: Average of monthly index values [390.471, 391.706, 392.652]</t>
  </si>
  <si>
    <t>Quote: Average of monthly index values [393.546, 394.728, 395.633]</t>
  </si>
  <si>
    <t>Q3-2026</t>
  </si>
  <si>
    <t>Quote: Average of monthly index values [396.859, 397.868, 398.783]</t>
  </si>
  <si>
    <t>Medium-term Adjusted EBITDA margin goal, low (set at the 2024 Investor Day)</t>
  </si>
  <si>
    <t>TARGET</t>
  </si>
  <si>
    <t>ratio</t>
  </si>
  <si>
    <t>n/a (not in XBRL; Toast earnings-call prepared remarks (company IR site))</t>
  </si>
  <si>
    <t>IR</t>
  </si>
  <si>
    <t>Q1-25 prepared remarks</t>
  </si>
  <si>
    <t>https://s28.q4cdn.com/141746709/files/doc_financials/2025/q1/Q1-25-Consolidated-Prepared-Remarks.pdf</t>
  </si>
  <si>
    <t>Quote: achieving our medium term margin goal of 30-35% well ahead of target</t>
  </si>
  <si>
    <t>Medium-term Adjusted EBITDA margin goal, high (set at the 2024 Investor Day)</t>
  </si>
  <si>
    <t>Long-term Adjusted EBITDA margin, floor of '40%-plus'</t>
  </si>
  <si>
    <t>Q4-25 prepared remarks</t>
  </si>
  <si>
    <t>https://s28.q4cdn.com/141746709/files/doc_financials/2025/q4/Q4-25-Prepared-Remarks.pdf</t>
  </si>
  <si>
    <t>Quote: working towards our long-term margins of 40%-plus</t>
  </si>
  <si>
    <t>target_lt_floor_reaffirmed</t>
  </si>
  <si>
    <t>Long-term Adjusted EBITDA margin '40%-plus', reaffirmed Aug 2026</t>
  </si>
  <si>
    <t>Q2-26 prepared remarks</t>
  </si>
  <si>
    <t>https://s28.q4cdn.com/141746709/files/doc_financials/2026/q2/Q2-26-Consolidated-Prepared-Remarks-2-1.pdf</t>
  </si>
  <si>
    <t>Quote: That keeps us on a path to 40%-plus long-term Adjusted EBITDA margins</t>
  </si>
  <si>
    <t>core_margin_higher</t>
  </si>
  <si>
    <t>Core business margin 'already over 40%' and expected 'meaningfully higher longer-term'</t>
  </si>
  <si>
    <t>Quote: The margins in our core business are already over 40%, and we expect the margin to continue to scale and be meaningfully higher longer-term</t>
  </si>
  <si>
    <t>payback_core_2019</t>
  </si>
  <si>
    <t>Core payback period, 2019 (months, Toast's definition)</t>
  </si>
  <si>
    <t>PAYBACK-2019</t>
  </si>
  <si>
    <t>Quote: In the core, payback dropped from 22 months in 2019 to 14 months in 2023.</t>
  </si>
  <si>
    <t>payback_core_2023</t>
  </si>
  <si>
    <t>Core payback period, 2023 (months, Toast's definition)</t>
  </si>
  <si>
    <t>PAYBACK-2023</t>
  </si>
  <si>
    <t>payback_core_steady</t>
  </si>
  <si>
    <t>Core payback held steady since 2023 (months, Toast's definition)</t>
  </si>
  <si>
    <t>PAYBACK-2025</t>
  </si>
  <si>
    <t>Quote: Since 2023, we've held core paybacks steady</t>
  </si>
  <si>
    <t>payback_portfolio_2025</t>
  </si>
  <si>
    <t>Portfolio dollar-based payback, 2025: 'mid-teens months' (stored as 15, approximate)</t>
  </si>
  <si>
    <t>Quote: Dollar-based payback period for our portfolio remained in the mid-teens months in 2025</t>
  </si>
  <si>
    <t>payback_def_sm_lag</t>
  </si>
  <si>
    <t>Payback definition: CAC = hardware &amp; services gross profit + S&amp;M from two months before go-live (months of lag)</t>
  </si>
  <si>
    <t>DEFINITION</t>
  </si>
  <si>
    <t>n/a (not in XBRL; Toast IPO prospectus (SEC 424B4))</t>
  </si>
  <si>
    <t>424B4</t>
  </si>
  <si>
    <t>0001193125-21-279379</t>
  </si>
  <si>
    <t>https://www.sec.gov/Archives/edgar/data/1650164/000119312521279379/d166297d424b4.htm</t>
  </si>
  <si>
    <t>Quote: we calculate the CAC as the in-month hardware and professional services gross profit plus the sales and marketing expense incurred two months prior</t>
  </si>
  <si>
    <t>payback_def_cohort</t>
  </si>
  <si>
    <t>Payback definition: CAC vs contribution profit of the same cohort of live locations and upsells (flag = 1)</t>
  </si>
  <si>
    <t>flag</t>
  </si>
  <si>
    <t>Quote: To evaluate payback period, we compare our CAC to the estimated contribution profit from the same cohort of live locations and upsells</t>
  </si>
  <si>
    <t>margin_stated_q1_25</t>
  </si>
  <si>
    <t>Q1 2025 Adjusted EBITDA margin as stated by Toast (denominator check)</t>
  </si>
  <si>
    <t>Quote: Adjusted EBITDA was $133 million with a margin of 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</si>
</sst>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5" formatCode="#,##0;\(#,##0\);&quot;–&quot;"/>
    <numFmt numFmtId="166" formatCode="0.000"/>
    <numFmt numFmtId="167" formatCode="0.0"/>
    <numFmt numFmtId="168" formatCode="0.0%;\(0.0%\);&quot;–&quot;"/>
    <numFmt numFmtId="169" formatCode="0.0;\(0.0\);&quot;–&quot;"/>
    <numFmt numFmtId="170" formatCode="#,##0.0;\(#,##0.0\);&quot;–&quot;"/>
    <numFmt numFmtId="171" formatCode="#,##0.00;\(#,##0.00\);&quot;–&quot;"/>
    <numFmt numFmtId="172" formatCode="0.00%;\(0.00%\);&quot;–&quot;"/>
    <numFmt numFmtId="173" formatCode="#,##0.0##;\(#,##0.0##\);0"/>
    <numFmt numFmtId="174" formatCode="0.000%;\(0.000%\);&quot;–&quot;"/>
    <numFmt numFmtId="175" formatCode="0.000;\(0.000\);&quot;OK&quot;"/>
    <numFmt numFmtId="176" formatCode="0.00&quot;x&quot;"/>
    <numFmt numFmtId="177" formatCode="0.0&quot;x&quot;"/>
    <numFmt numFmtId="178" formatCode="#,##0.000"/>
  </numFmts>
  <fonts count="13" x14ac:knownFonts="1">
    <font>
      <sz val="11"/>
      <color theme="1"/>
      <name val="Calibri"/>
      <family val="2"/>
      <scheme val="minor"/>
    </font>
    <font>
      <b/>
      <sz val="14"/>
      <color rgb="FF1F2A44"/>
      <name val="Calibri"/>
    </font>
    <font>
      <i/>
      <sz val="10"/>
      <color rgb="FF595959"/>
      <name val="Calibri"/>
    </font>
    <font>
      <b/>
      <sz val="10"/>
      <color rgb="FF1F2A44"/>
      <name val="Calibri"/>
    </font>
    <font>
      <sz val="8"/>
      <color rgb="FF808080"/>
      <name val="Calibri"/>
    </font>
    <font>
      <sz val="10"/>
      <color rgb="FF000000"/>
      <name val="Calibri"/>
    </font>
    <font>
      <sz val="10"/>
      <color rgb="FF0000FF"/>
      <name val="Calibri"/>
    </font>
    <font>
      <b/>
      <sz val="10"/>
      <color rgb="FFFFFFFF"/>
      <name val="Calibri"/>
    </font>
    <font>
      <b/>
      <sz val="10"/>
      <name val="Calibri"/>
    </font>
    <font>
      <b/>
      <sz val="10"/>
      <color rgb="FF000000"/>
      <name val="Calibri"/>
    </font>
    <font>
      <sz val="10"/>
      <color rgb="FF008000"/>
      <name val="Calibri"/>
    </font>
    <font>
      <b/>
      <sz val="10"/>
      <color rgb="FF008000"/>
      <name val="Calibri"/>
    </font>
    <font>
      <u/>
      <sz val="10"/>
      <color rgb="FF0563C1"/>
      <name val="Calibri"/>
    </font>
  </fonts>
  <fills count="8">
    <fill>
      <patternFill patternType="none"/>
    </fill>
    <fill>
      <patternFill patternType="gray125"/>
    </fill>
    <fill>
      <patternFill patternType="solid">
        <fgColor rgb="FFF2F2F2"/>
      </patternFill>
    </fill>
    <fill>
      <patternFill patternType="solid">
        <fgColor rgb="FFFFF2CC"/>
      </patternFill>
    </fill>
    <fill>
      <patternFill patternType="solid">
        <fgColor rgb="FF1F2A44"/>
      </patternFill>
    </fill>
    <fill>
      <patternFill patternType="solid">
        <fgColor rgb="FFD9D9D9"/>
      </patternFill>
    </fill>
    <fill>
      <patternFill patternType="solid">
        <fgColor rgb="FFDDEBF7"/>
      </patternFill>
    </fill>
    <fill>
      <patternFill patternType="solid">
        <fgColor rgb="FFE2EFDA"/>
      </patternFill>
    </fill>
  </fills>
  <borders count="2">
    <border>
      <left/>
      <right/>
      <top/>
      <bottom/>
      <diagonal/>
    </border>
    <border>
      <left/>
      <right/>
      <top style="thin">
        <color rgb="FF808080"/>
      </top>
      <bottom/>
      <diagonal/>
    </border>
  </borders>
  <cellStyleXfs count="1">
    <xf numFmtId="0" fontId="0" fillId="0" borderId="0"/>
  </cellStyleXfs>
  <cellXfs count="80">
    <xf numFmtId="0" fontId="0" fillId="0" borderId="0" xfId="0"/>
    <xf numFmtId="0" fontId="1" fillId="0" borderId="0" xfId="0" applyFont="1"/>
    <xf numFmtId="0" fontId="2" fillId="0" borderId="0" xfId="0" applyFont="1"/>
    <xf numFmtId="0" fontId="5" fillId="0" borderId="0" xfId="0" applyFont="1"/>
    <xf numFmtId="0" fontId="8" fillId="0" borderId="0" xfId="0" applyFont="1"/>
    <xf numFmtId="0" fontId="5" fillId="0" borderId="0" xfId="0" applyFont="1" applyAlignment="1">
      <alignment vertical="top" wrapText="1"/>
    </xf>
    <xf numFmtId="0" fontId="10" fillId="0" borderId="0" xfId="0" applyFont="1" applyAlignment="1">
      <alignment vertical="top" wrapText="1"/>
    </xf>
    <xf numFmtId="0" fontId="7" fillId="4" borderId="0" xfId="0" applyFont="1" applyFill="1"/>
    <xf numFmtId="0" fontId="12" fillId="0" borderId="0" xfId="0" applyFont="1"/>
    <xf numFmtId="0" fontId="5" fillId="0" borderId="0" xfId="0" applyFont="1" applyAlignment="1">
      <alignment wrapText="1"/>
    </xf>
    <xf numFmtId="0" fontId="11" fillId="5" borderId="0" xfId="0" applyFont="1" applyFill="1" applyAlignment="1">
      <alignment horizontal="center"/>
    </xf>
    <xf numFmtId="0" fontId="11" fillId="6" borderId="0" xfId="0" applyFont="1" applyFill="1" applyAlignment="1">
      <alignment horizontal="center"/>
    </xf>
    <xf numFmtId="0" fontId="4" fillId="0" borderId="0" xfId="0" applyFont="1"/>
    <xf numFmtId="165" fontId="10" fillId="0" borderId="0" xfId="0" applyNumberFormat="1" applyFont="1"/>
    <xf numFmtId="170" fontId="10" fillId="0" borderId="0" xfId="0" applyNumberFormat="1" applyFont="1"/>
    <xf numFmtId="168" fontId="10" fillId="0" borderId="0" xfId="0" applyNumberFormat="1" applyFont="1"/>
    <xf numFmtId="0" fontId="0" fillId="4" borderId="0" xfId="0" applyFill="1"/>
    <xf numFmtId="0" fontId="10" fillId="0" borderId="0" xfId="0" applyFont="1" applyAlignment="1"/>
    <xf numFmtId="0" fontId="7" fillId="4" borderId="0" xfId="0" applyFont="1" applyFill="1" applyAlignment="1">
      <alignment horizontal="center" wrapText="1"/>
    </xf>
    <xf numFmtId="0" fontId="3" fillId="0" borderId="0" xfId="0" applyFont="1"/>
    <xf numFmtId="0" fontId="10" fillId="0" borderId="0" xfId="0" applyFont="1"/>
    <xf numFmtId="0" fontId="0" fillId="2" borderId="0" xfId="0" applyFill="1"/>
    <xf numFmtId="0" fontId="3" fillId="2" borderId="0" xfId="0" applyFont="1" applyFill="1"/>
    <xf numFmtId="1" fontId="6" fillId="3" borderId="0" xfId="0" applyNumberFormat="1" applyFont="1" applyFill="1"/>
    <xf numFmtId="17" fontId="5" fillId="3" borderId="0" xfId="0" applyNumberFormat="1" applyFont="1" applyFill="1"/>
    <xf numFmtId="165" fontId="6" fillId="3" borderId="0" xfId="0" applyNumberFormat="1" applyFont="1" applyFill="1"/>
    <xf numFmtId="166" fontId="6" fillId="3" borderId="0" xfId="0" applyNumberFormat="1" applyFont="1" applyFill="1"/>
    <xf numFmtId="167" fontId="6" fillId="3" borderId="0" xfId="0" applyNumberFormat="1" applyFont="1" applyFill="1"/>
    <xf numFmtId="1" fontId="5" fillId="0" borderId="0" xfId="0" applyNumberFormat="1" applyFont="1"/>
    <xf numFmtId="1" fontId="6" fillId="0" borderId="0" xfId="0" applyNumberFormat="1" applyFont="1"/>
    <xf numFmtId="165" fontId="6" fillId="0" borderId="0" xfId="0" applyNumberFormat="1" applyFont="1"/>
    <xf numFmtId="168" fontId="6" fillId="3" borderId="0" xfId="0" applyNumberFormat="1" applyFont="1" applyFill="1"/>
    <xf numFmtId="169" fontId="10" fillId="0" borderId="0" xfId="0" applyNumberFormat="1" applyFont="1"/>
    <xf numFmtId="169" fontId="6" fillId="3" borderId="0" xfId="0" applyNumberFormat="1" applyFont="1" applyFill="1"/>
    <xf numFmtId="170" fontId="6" fillId="3" borderId="0" xfId="0" applyNumberFormat="1" applyFont="1" applyFill="1"/>
    <xf numFmtId="0" fontId="7" fillId="4" borderId="0" xfId="0" applyFont="1" applyFill="1" applyAlignment="1">
      <alignment horizontal="center"/>
    </xf>
    <xf numFmtId="171" fontId="6" fillId="3" borderId="0" xfId="0" applyNumberFormat="1" applyFont="1" applyFill="1"/>
    <xf numFmtId="171" fontId="10" fillId="0" borderId="0" xfId="0" applyNumberFormat="1" applyFont="1"/>
    <xf numFmtId="172" fontId="10" fillId="0" borderId="0" xfId="0" applyNumberFormat="1" applyFont="1"/>
    <xf numFmtId="172" fontId="6" fillId="3" borderId="0" xfId="0" applyNumberFormat="1" applyFont="1" applyFill="1"/>
    <xf numFmtId="0" fontId="9" fillId="5" borderId="0" xfId="0" applyFont="1" applyFill="1" applyAlignment="1">
      <alignment horizontal="center"/>
    </xf>
    <xf numFmtId="0" fontId="9" fillId="6" borderId="0" xfId="0" applyFont="1" applyFill="1" applyAlignment="1">
      <alignment horizontal="center"/>
    </xf>
    <xf numFmtId="0" fontId="5" fillId="5" borderId="0" xfId="0" applyFont="1" applyFill="1" applyAlignment="1">
      <alignment horizontal="center"/>
    </xf>
    <xf numFmtId="0" fontId="5" fillId="6" borderId="0" xfId="0" applyFont="1" applyFill="1" applyAlignment="1">
      <alignment horizontal="center"/>
    </xf>
    <xf numFmtId="17" fontId="5" fillId="0" borderId="0" xfId="0" applyNumberFormat="1" applyFont="1"/>
    <xf numFmtId="0" fontId="10" fillId="5" borderId="0" xfId="0" applyFont="1" applyFill="1" applyAlignment="1">
      <alignment horizontal="center"/>
    </xf>
    <xf numFmtId="0" fontId="10" fillId="6" borderId="0" xfId="0" applyFont="1" applyFill="1" applyAlignment="1">
      <alignment horizontal="center"/>
    </xf>
    <xf numFmtId="17" fontId="10" fillId="0" borderId="0" xfId="0" applyNumberFormat="1" applyFont="1"/>
    <xf numFmtId="165" fontId="11" fillId="0" borderId="0" xfId="0" applyNumberFormat="1" applyFont="1"/>
    <xf numFmtId="165" fontId="9" fillId="0" borderId="0" xfId="0" applyNumberFormat="1" applyFont="1"/>
    <xf numFmtId="165" fontId="5" fillId="0" borderId="0" xfId="0" applyNumberFormat="1" applyFont="1"/>
    <xf numFmtId="168" fontId="5" fillId="0" borderId="0" xfId="0" applyNumberFormat="1" applyFont="1"/>
    <xf numFmtId="170" fontId="5" fillId="0" borderId="0" xfId="0" applyNumberFormat="1" applyFont="1"/>
    <xf numFmtId="174" fontId="5" fillId="0" borderId="0" xfId="0" applyNumberFormat="1" applyFont="1"/>
    <xf numFmtId="169" fontId="5" fillId="0" borderId="0" xfId="0" applyNumberFormat="1" applyFont="1"/>
    <xf numFmtId="171" fontId="5" fillId="0" borderId="0" xfId="0" applyNumberFormat="1" applyFont="1"/>
    <xf numFmtId="165" fontId="9" fillId="0" borderId="1" xfId="0" applyNumberFormat="1" applyFont="1" applyBorder="1"/>
    <xf numFmtId="0" fontId="5" fillId="0" borderId="0" xfId="0" applyFont="1" applyAlignment="1">
      <alignment indent="1"/>
    </xf>
    <xf numFmtId="0" fontId="5" fillId="0" borderId="0" xfId="0" applyFont="1" applyAlignment="1">
      <alignment indent="2"/>
    </xf>
    <xf numFmtId="165" fontId="5" fillId="0" borderId="1" xfId="0" applyNumberFormat="1" applyFont="1" applyBorder="1"/>
    <xf numFmtId="175" fontId="5" fillId="0" borderId="0" xfId="0" applyNumberFormat="1" applyFont="1"/>
    <xf numFmtId="1" fontId="10" fillId="0" borderId="0" xfId="0" applyNumberFormat="1" applyFont="1"/>
    <xf numFmtId="165" fontId="11" fillId="0" borderId="1" xfId="0" applyNumberFormat="1" applyFont="1" applyBorder="1"/>
    <xf numFmtId="176" fontId="5" fillId="0" borderId="0" xfId="0" applyNumberFormat="1" applyFont="1"/>
    <xf numFmtId="165" fontId="10" fillId="0" borderId="1" xfId="0" applyNumberFormat="1" applyFont="1" applyBorder="1"/>
    <xf numFmtId="0" fontId="11" fillId="5" borderId="0" xfId="0" applyFont="1" applyFill="1"/>
    <xf numFmtId="0" fontId="11" fillId="6" borderId="0" xfId="0" applyFont="1" applyFill="1"/>
    <xf numFmtId="170" fontId="11" fillId="0" borderId="0" xfId="0" applyNumberFormat="1" applyFont="1"/>
    <xf numFmtId="170" fontId="9" fillId="0" borderId="1" xfId="0" applyNumberFormat="1" applyFont="1" applyBorder="1"/>
    <xf numFmtId="170" fontId="9" fillId="0" borderId="0" xfId="0" applyNumberFormat="1" applyFont="1"/>
    <xf numFmtId="177" fontId="5" fillId="0" borderId="0" xfId="0" applyNumberFormat="1" applyFont="1"/>
    <xf numFmtId="174" fontId="10" fillId="0" borderId="0" xfId="0" applyNumberFormat="1" applyFont="1"/>
    <xf numFmtId="168" fontId="9" fillId="0" borderId="0" xfId="0" applyNumberFormat="1" applyFont="1"/>
    <xf numFmtId="165" fontId="8" fillId="0" borderId="0" xfId="0" applyNumberFormat="1" applyFont="1"/>
    <xf numFmtId="178" fontId="10" fillId="0" borderId="0" xfId="0" applyNumberFormat="1" applyFont="1"/>
    <xf numFmtId="178" fontId="5" fillId="0" borderId="0" xfId="0" applyNumberFormat="1" applyFont="1"/>
    <xf numFmtId="0" fontId="5" fillId="7" borderId="0" xfId="0" applyFont="1" applyFill="1" applyAlignment="1">
      <alignment horizontal="center"/>
    </xf>
    <xf numFmtId="0" fontId="9" fillId="7" borderId="0" xfId="0" applyFont="1" applyFill="1"/>
    <xf numFmtId="1" fontId="9" fillId="5" borderId="0" xfId="0" applyNumberFormat="1" applyFont="1" applyFill="1"/>
    <xf numFmtId="173" fontId="6" fillId="0" borderId="0" xfId="0" applyNumberFormat="1"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t>Quarterly recurring gross profit, Adj. EBITDA, free cash flow ($m; Q4'22-Q4'29, from Q3'26 = forecast)</a:t>
            </a:r>
          </a:p>
        </c:rich>
      </c:tx>
      <c:overlay val="1"/>
    </c:title>
    <c:autoTitleDeleted val="0"/>
    <c:plotArea>
      <c:layout/>
      <c:lineChart>
        <c:grouping val="standard"/>
        <c:varyColors val="1"/>
        <c:ser>
          <c:idx val="0"/>
          <c:order val="0"/>
          <c:tx>
            <c:v>Recurring gross profit, non-GAAP ($m)</c:v>
          </c:tx>
          <c:spPr>
            <a:ln>
              <a:prstDash val="solid"/>
            </a:ln>
          </c:spPr>
          <c:marker>
            <c:symbol val="none"/>
          </c:marker>
          <c:cat>
            <c:strRef>
              <c:f>Summary!$D$69:$AF$69</c:f>
              <c:strCache>
                <c:ptCount val="29"/>
                <c:pt idx="0">
                  <c:v>Q4'22</c:v>
                </c:pt>
                <c:pt idx="1">
                  <c:v>Q1'23</c:v>
                </c:pt>
                <c:pt idx="2">
                  <c:v>Q2'23</c:v>
                </c:pt>
                <c:pt idx="3">
                  <c:v>Q3'23</c:v>
                </c:pt>
                <c:pt idx="4">
                  <c:v>Q4'23</c:v>
                </c:pt>
                <c:pt idx="5">
                  <c:v>Q1'24</c:v>
                </c:pt>
                <c:pt idx="6">
                  <c:v>Q2'24</c:v>
                </c:pt>
                <c:pt idx="7">
                  <c:v>Q3'24</c:v>
                </c:pt>
                <c:pt idx="8">
                  <c:v>Q4'24</c:v>
                </c:pt>
                <c:pt idx="9">
                  <c:v>Q1'25</c:v>
                </c:pt>
                <c:pt idx="10">
                  <c:v>Q2'25</c:v>
                </c:pt>
                <c:pt idx="11">
                  <c:v>Q3'25</c:v>
                </c:pt>
                <c:pt idx="12">
                  <c:v>Q4'25</c:v>
                </c:pt>
                <c:pt idx="13">
                  <c:v>Q1'26</c:v>
                </c:pt>
                <c:pt idx="14">
                  <c:v>Q2'26</c:v>
                </c:pt>
                <c:pt idx="15">
                  <c:v>Q3'26</c:v>
                </c:pt>
                <c:pt idx="16">
                  <c:v>Q4'26</c:v>
                </c:pt>
                <c:pt idx="17">
                  <c:v>Q1'27</c:v>
                </c:pt>
                <c:pt idx="18">
                  <c:v>Q2'27</c:v>
                </c:pt>
                <c:pt idx="19">
                  <c:v>Q3'27</c:v>
                </c:pt>
                <c:pt idx="20">
                  <c:v>Q4'27</c:v>
                </c:pt>
                <c:pt idx="21">
                  <c:v>Q1'28</c:v>
                </c:pt>
                <c:pt idx="22">
                  <c:v>Q2'28</c:v>
                </c:pt>
                <c:pt idx="23">
                  <c:v>Q3'28</c:v>
                </c:pt>
                <c:pt idx="24">
                  <c:v>Q4'28</c:v>
                </c:pt>
                <c:pt idx="25">
                  <c:v>Q1'29</c:v>
                </c:pt>
                <c:pt idx="26">
                  <c:v>Q2'29</c:v>
                </c:pt>
                <c:pt idx="27">
                  <c:v>Q3'29</c:v>
                </c:pt>
                <c:pt idx="28">
                  <c:v>Q4'29</c:v>
                </c:pt>
              </c:strCache>
            </c:strRef>
          </c:cat>
          <c:val>
            <c:numRef>
              <c:f>Summary!$D$70:$AF$70</c:f>
              <c:numCache>
                <c:formatCode>#,##0;\(#,##0\);"–"</c:formatCode>
                <c:ptCount val="29"/>
                <c:pt idx="0">
                  <c:v>207</c:v>
                </c:pt>
                <c:pt idx="1">
                  <c:v>229</c:v>
                </c:pt>
                <c:pt idx="2">
                  <c:v>267</c:v>
                </c:pt>
                <c:pt idx="3">
                  <c:v>280</c:v>
                </c:pt>
                <c:pt idx="4">
                  <c:v>281</c:v>
                </c:pt>
                <c:pt idx="5">
                  <c:v>303</c:v>
                </c:pt>
                <c:pt idx="6">
                  <c:v>344</c:v>
                </c:pt>
                <c:pt idx="7">
                  <c:v>378</c:v>
                </c:pt>
                <c:pt idx="8">
                  <c:v>392</c:v>
                </c:pt>
                <c:pt idx="9">
                  <c:v>415</c:v>
                </c:pt>
                <c:pt idx="10">
                  <c:v>464</c:v>
                </c:pt>
                <c:pt idx="11">
                  <c:v>505</c:v>
                </c:pt>
                <c:pt idx="12">
                  <c:v>503</c:v>
                </c:pt>
                <c:pt idx="13">
                  <c:v>529</c:v>
                </c:pt>
                <c:pt idx="14">
                  <c:v>595</c:v>
                </c:pt>
                <c:pt idx="15">
                  <c:v>635.77628759191134</c:v>
                </c:pt>
                <c:pt idx="16">
                  <c:v>625.16533560294101</c:v>
                </c:pt>
                <c:pt idx="17">
                  <c:v>647.28918691834951</c:v>
                </c:pt>
                <c:pt idx="18">
                  <c:v>721.69171230769211</c:v>
                </c:pt>
                <c:pt idx="19">
                  <c:v>768.29760486679515</c:v>
                </c:pt>
                <c:pt idx="20">
                  <c:v>752.19024714218745</c:v>
                </c:pt>
                <c:pt idx="21">
                  <c:v>771.70004759648805</c:v>
                </c:pt>
                <c:pt idx="22">
                  <c:v>855.35952821283672</c:v>
                </c:pt>
                <c:pt idx="23">
                  <c:v>905.21169804855788</c:v>
                </c:pt>
                <c:pt idx="24">
                  <c:v>882.54017607040419</c:v>
                </c:pt>
                <c:pt idx="25">
                  <c:v>897.20511607394496</c:v>
                </c:pt>
                <c:pt idx="26">
                  <c:v>990.14048446068</c:v>
                </c:pt>
                <c:pt idx="27">
                  <c:v>1043.0812824836221</c:v>
                </c:pt>
                <c:pt idx="28">
                  <c:v>1013.6659332443721</c:v>
                </c:pt>
              </c:numCache>
            </c:numRef>
          </c:val>
          <c:smooth val="0"/>
          <c:extLst>
            <c:ext xmlns:c16="http://schemas.microsoft.com/office/drawing/2014/chart" uri="{C3380CC4-5D6E-409C-BE32-E72D297353CC}">
              <c16:uniqueId val="{00000000-F508-4642-9047-89C5869E2514}"/>
            </c:ext>
          </c:extLst>
        </c:ser>
        <c:ser>
          <c:idx val="1"/>
          <c:order val="1"/>
          <c:tx>
            <c:v>Adjusted EBITDA ($m)</c:v>
          </c:tx>
          <c:spPr>
            <a:ln>
              <a:prstDash val="solid"/>
            </a:ln>
          </c:spPr>
          <c:marker>
            <c:symbol val="none"/>
          </c:marker>
          <c:cat>
            <c:strRef>
              <c:f>Summary!$D$69:$AF$69</c:f>
              <c:strCache>
                <c:ptCount val="29"/>
                <c:pt idx="0">
                  <c:v>Q4'22</c:v>
                </c:pt>
                <c:pt idx="1">
                  <c:v>Q1'23</c:v>
                </c:pt>
                <c:pt idx="2">
                  <c:v>Q2'23</c:v>
                </c:pt>
                <c:pt idx="3">
                  <c:v>Q3'23</c:v>
                </c:pt>
                <c:pt idx="4">
                  <c:v>Q4'23</c:v>
                </c:pt>
                <c:pt idx="5">
                  <c:v>Q1'24</c:v>
                </c:pt>
                <c:pt idx="6">
                  <c:v>Q2'24</c:v>
                </c:pt>
                <c:pt idx="7">
                  <c:v>Q3'24</c:v>
                </c:pt>
                <c:pt idx="8">
                  <c:v>Q4'24</c:v>
                </c:pt>
                <c:pt idx="9">
                  <c:v>Q1'25</c:v>
                </c:pt>
                <c:pt idx="10">
                  <c:v>Q2'25</c:v>
                </c:pt>
                <c:pt idx="11">
                  <c:v>Q3'25</c:v>
                </c:pt>
                <c:pt idx="12">
                  <c:v>Q4'25</c:v>
                </c:pt>
                <c:pt idx="13">
                  <c:v>Q1'26</c:v>
                </c:pt>
                <c:pt idx="14">
                  <c:v>Q2'26</c:v>
                </c:pt>
                <c:pt idx="15">
                  <c:v>Q3'26</c:v>
                </c:pt>
                <c:pt idx="16">
                  <c:v>Q4'26</c:v>
                </c:pt>
                <c:pt idx="17">
                  <c:v>Q1'27</c:v>
                </c:pt>
                <c:pt idx="18">
                  <c:v>Q2'27</c:v>
                </c:pt>
                <c:pt idx="19">
                  <c:v>Q3'27</c:v>
                </c:pt>
                <c:pt idx="20">
                  <c:v>Q4'27</c:v>
                </c:pt>
                <c:pt idx="21">
                  <c:v>Q1'28</c:v>
                </c:pt>
                <c:pt idx="22">
                  <c:v>Q2'28</c:v>
                </c:pt>
                <c:pt idx="23">
                  <c:v>Q3'28</c:v>
                </c:pt>
                <c:pt idx="24">
                  <c:v>Q4'28</c:v>
                </c:pt>
                <c:pt idx="25">
                  <c:v>Q1'29</c:v>
                </c:pt>
                <c:pt idx="26">
                  <c:v>Q2'29</c:v>
                </c:pt>
                <c:pt idx="27">
                  <c:v>Q3'29</c:v>
                </c:pt>
                <c:pt idx="28">
                  <c:v>Q4'29</c:v>
                </c:pt>
              </c:strCache>
            </c:strRef>
          </c:cat>
          <c:val>
            <c:numRef>
              <c:f>Summary!$D$71:$AF$71</c:f>
              <c:numCache>
                <c:formatCode>#,##0;\(#,##0\);"–"</c:formatCode>
                <c:ptCount val="29"/>
                <c:pt idx="0">
                  <c:v>-18</c:v>
                </c:pt>
                <c:pt idx="1">
                  <c:v>-17</c:v>
                </c:pt>
                <c:pt idx="2">
                  <c:v>15</c:v>
                </c:pt>
                <c:pt idx="3">
                  <c:v>35</c:v>
                </c:pt>
                <c:pt idx="4">
                  <c:v>29</c:v>
                </c:pt>
                <c:pt idx="5">
                  <c:v>57</c:v>
                </c:pt>
                <c:pt idx="6">
                  <c:v>92</c:v>
                </c:pt>
                <c:pt idx="7">
                  <c:v>113</c:v>
                </c:pt>
                <c:pt idx="8">
                  <c:v>111</c:v>
                </c:pt>
                <c:pt idx="9">
                  <c:v>133</c:v>
                </c:pt>
                <c:pt idx="10">
                  <c:v>161</c:v>
                </c:pt>
                <c:pt idx="11">
                  <c:v>176</c:v>
                </c:pt>
                <c:pt idx="12">
                  <c:v>163</c:v>
                </c:pt>
                <c:pt idx="13">
                  <c:v>179</c:v>
                </c:pt>
                <c:pt idx="14">
                  <c:v>221</c:v>
                </c:pt>
                <c:pt idx="15">
                  <c:v>244.23172876838197</c:v>
                </c:pt>
                <c:pt idx="16">
                  <c:v>235.2925414852939</c:v>
                </c:pt>
                <c:pt idx="17">
                  <c:v>254.38477515364374</c:v>
                </c:pt>
                <c:pt idx="18">
                  <c:v>285.60730054298625</c:v>
                </c:pt>
                <c:pt idx="19">
                  <c:v>319.7875931020892</c:v>
                </c:pt>
                <c:pt idx="20">
                  <c:v>306.08853537748149</c:v>
                </c:pt>
                <c:pt idx="21">
                  <c:v>329.84818289060559</c:v>
                </c:pt>
                <c:pt idx="22">
                  <c:v>367.92656350695427</c:v>
                </c:pt>
                <c:pt idx="23">
                  <c:v>403.07861934267555</c:v>
                </c:pt>
                <c:pt idx="24">
                  <c:v>383.72658436452184</c:v>
                </c:pt>
                <c:pt idx="25">
                  <c:v>404.1536204268856</c:v>
                </c:pt>
                <c:pt idx="26">
                  <c:v>449.02318681362107</c:v>
                </c:pt>
                <c:pt idx="27">
                  <c:v>484.96597319656343</c:v>
                </c:pt>
                <c:pt idx="28">
                  <c:v>459.78512477731323</c:v>
                </c:pt>
              </c:numCache>
            </c:numRef>
          </c:val>
          <c:smooth val="0"/>
          <c:extLst>
            <c:ext xmlns:c16="http://schemas.microsoft.com/office/drawing/2014/chart" uri="{C3380CC4-5D6E-409C-BE32-E72D297353CC}">
              <c16:uniqueId val="{00000001-F508-4642-9047-89C5869E2514}"/>
            </c:ext>
          </c:extLst>
        </c:ser>
        <c:ser>
          <c:idx val="2"/>
          <c:order val="2"/>
          <c:tx>
            <c:v>Free cash flow ($m)</c:v>
          </c:tx>
          <c:spPr>
            <a:ln>
              <a:prstDash val="solid"/>
            </a:ln>
          </c:spPr>
          <c:marker>
            <c:symbol val="none"/>
          </c:marker>
          <c:cat>
            <c:strRef>
              <c:f>Summary!$D$69:$AF$69</c:f>
              <c:strCache>
                <c:ptCount val="29"/>
                <c:pt idx="0">
                  <c:v>Q4'22</c:v>
                </c:pt>
                <c:pt idx="1">
                  <c:v>Q1'23</c:v>
                </c:pt>
                <c:pt idx="2">
                  <c:v>Q2'23</c:v>
                </c:pt>
                <c:pt idx="3">
                  <c:v>Q3'23</c:v>
                </c:pt>
                <c:pt idx="4">
                  <c:v>Q4'23</c:v>
                </c:pt>
                <c:pt idx="5">
                  <c:v>Q1'24</c:v>
                </c:pt>
                <c:pt idx="6">
                  <c:v>Q2'24</c:v>
                </c:pt>
                <c:pt idx="7">
                  <c:v>Q3'24</c:v>
                </c:pt>
                <c:pt idx="8">
                  <c:v>Q4'24</c:v>
                </c:pt>
                <c:pt idx="9">
                  <c:v>Q1'25</c:v>
                </c:pt>
                <c:pt idx="10">
                  <c:v>Q2'25</c:v>
                </c:pt>
                <c:pt idx="11">
                  <c:v>Q3'25</c:v>
                </c:pt>
                <c:pt idx="12">
                  <c:v>Q4'25</c:v>
                </c:pt>
                <c:pt idx="13">
                  <c:v>Q1'26</c:v>
                </c:pt>
                <c:pt idx="14">
                  <c:v>Q2'26</c:v>
                </c:pt>
                <c:pt idx="15">
                  <c:v>Q3'26</c:v>
                </c:pt>
                <c:pt idx="16">
                  <c:v>Q4'26</c:v>
                </c:pt>
                <c:pt idx="17">
                  <c:v>Q1'27</c:v>
                </c:pt>
                <c:pt idx="18">
                  <c:v>Q2'27</c:v>
                </c:pt>
                <c:pt idx="19">
                  <c:v>Q3'27</c:v>
                </c:pt>
                <c:pt idx="20">
                  <c:v>Q4'27</c:v>
                </c:pt>
                <c:pt idx="21">
                  <c:v>Q1'28</c:v>
                </c:pt>
                <c:pt idx="22">
                  <c:v>Q2'28</c:v>
                </c:pt>
                <c:pt idx="23">
                  <c:v>Q3'28</c:v>
                </c:pt>
                <c:pt idx="24">
                  <c:v>Q4'28</c:v>
                </c:pt>
                <c:pt idx="25">
                  <c:v>Q1'29</c:v>
                </c:pt>
                <c:pt idx="26">
                  <c:v>Q2'29</c:v>
                </c:pt>
                <c:pt idx="27">
                  <c:v>Q3'29</c:v>
                </c:pt>
                <c:pt idx="28">
                  <c:v>Q4'29</c:v>
                </c:pt>
              </c:strCache>
            </c:strRef>
          </c:cat>
          <c:val>
            <c:numRef>
              <c:f>Summary!$D$72:$AF$72</c:f>
              <c:numCache>
                <c:formatCode>#,##0;\(#,##0\);"–"</c:formatCode>
                <c:ptCount val="29"/>
                <c:pt idx="0">
                  <c:v>-29</c:v>
                </c:pt>
                <c:pt idx="1">
                  <c:v>-65</c:v>
                </c:pt>
                <c:pt idx="2">
                  <c:v>39</c:v>
                </c:pt>
                <c:pt idx="3">
                  <c:v>38</c:v>
                </c:pt>
                <c:pt idx="4">
                  <c:v>81</c:v>
                </c:pt>
                <c:pt idx="5">
                  <c:v>-33</c:v>
                </c:pt>
                <c:pt idx="6">
                  <c:v>108</c:v>
                </c:pt>
                <c:pt idx="7">
                  <c:v>97</c:v>
                </c:pt>
                <c:pt idx="8">
                  <c:v>134</c:v>
                </c:pt>
                <c:pt idx="9">
                  <c:v>69</c:v>
                </c:pt>
                <c:pt idx="10">
                  <c:v>208</c:v>
                </c:pt>
                <c:pt idx="11">
                  <c:v>153</c:v>
                </c:pt>
                <c:pt idx="12">
                  <c:v>178</c:v>
                </c:pt>
                <c:pt idx="13">
                  <c:v>115</c:v>
                </c:pt>
                <c:pt idx="14">
                  <c:v>130</c:v>
                </c:pt>
                <c:pt idx="15">
                  <c:v>265.55965390979452</c:v>
                </c:pt>
                <c:pt idx="16">
                  <c:v>216.88372638835597</c:v>
                </c:pt>
                <c:pt idx="17">
                  <c:v>268.09572287255651</c:v>
                </c:pt>
                <c:pt idx="18">
                  <c:v>308.25251640656842</c:v>
                </c:pt>
                <c:pt idx="19">
                  <c:v>312.62907246352535</c:v>
                </c:pt>
                <c:pt idx="20">
                  <c:v>282.2615220147793</c:v>
                </c:pt>
                <c:pt idx="21">
                  <c:v>313.53277190813299</c:v>
                </c:pt>
                <c:pt idx="22">
                  <c:v>394.0322487063865</c:v>
                </c:pt>
                <c:pt idx="23">
                  <c:v>379.06739379272034</c:v>
                </c:pt>
                <c:pt idx="24">
                  <c:v>349.68290850746126</c:v>
                </c:pt>
                <c:pt idx="25">
                  <c:v>345.1926460413178</c:v>
                </c:pt>
                <c:pt idx="26">
                  <c:v>475.61896436330687</c:v>
                </c:pt>
                <c:pt idx="27">
                  <c:v>446.65523207590019</c:v>
                </c:pt>
                <c:pt idx="28">
                  <c:v>413.37523008381402</c:v>
                </c:pt>
              </c:numCache>
            </c:numRef>
          </c:val>
          <c:smooth val="0"/>
          <c:extLst>
            <c:ext xmlns:c16="http://schemas.microsoft.com/office/drawing/2014/chart" uri="{C3380CC4-5D6E-409C-BE32-E72D297353CC}">
              <c16:uniqueId val="{00000002-F508-4642-9047-89C5869E2514}"/>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General" sourceLinked="1"/>
        <c:majorTickMark val="none"/>
        <c:minorTickMark val="none"/>
        <c:tickLblPos val="nextTo"/>
        <c:crossAx val="100"/>
        <c:crosses val="autoZero"/>
        <c:auto val="1"/>
        <c:lblAlgn val="ctr"/>
        <c:lblOffset val="100"/>
        <c:tickLblSkip val="4"/>
        <c:noMultiLvlLbl val="1"/>
      </c:catAx>
      <c:valAx>
        <c:axId val="100"/>
        <c:scaling>
          <c:orientation val="minMax"/>
        </c:scaling>
        <c:delete val="0"/>
        <c:axPos val="l"/>
        <c:numFmt formatCode="#,##0;\(#,##0\);&quot;–&quot;" sourceLinked="1"/>
        <c:majorTickMark val="none"/>
        <c:minorTickMark val="none"/>
        <c:tickLblPos val="nextTo"/>
        <c:crossAx val="10"/>
        <c:crosses val="autoZero"/>
        <c:crossBetween val="between"/>
      </c:valAx>
    </c:plotArea>
    <c:legend>
      <c:legendPos val="b"/>
      <c:overlay val="1"/>
    </c:legend>
    <c:plotVisOnly val="1"/>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t>Gross profit by line ($m, FY2023A-FY2029E)</a:t>
            </a:r>
          </a:p>
        </c:rich>
      </c:tx>
      <c:overlay val="1"/>
    </c:title>
    <c:autoTitleDeleted val="0"/>
    <c:plotArea>
      <c:layout/>
      <c:barChart>
        <c:barDir val="col"/>
        <c:grouping val="stacked"/>
        <c:varyColors val="1"/>
        <c:ser>
          <c:idx val="0"/>
          <c:order val="0"/>
          <c:tx>
            <c:v>Subscription gross profit</c:v>
          </c:tx>
          <c:spPr>
            <a:ln>
              <a:prstDash val="solid"/>
            </a:ln>
          </c:spPr>
          <c:invertIfNegative val="1"/>
          <c:cat>
            <c:strRef>
              <c:f>Summary!$D$75:$J$75</c:f>
              <c:strCache>
                <c:ptCount val="7"/>
                <c:pt idx="0">
                  <c:v>FY2023A</c:v>
                </c:pt>
                <c:pt idx="1">
                  <c:v>FY2024A</c:v>
                </c:pt>
                <c:pt idx="2">
                  <c:v>FY2025A</c:v>
                </c:pt>
                <c:pt idx="3">
                  <c:v>FY2026E</c:v>
                </c:pt>
                <c:pt idx="4">
                  <c:v>FY2027E</c:v>
                </c:pt>
                <c:pt idx="5">
                  <c:v>FY2028E</c:v>
                </c:pt>
                <c:pt idx="6">
                  <c:v>FY2029E</c:v>
                </c:pt>
              </c:strCache>
            </c:strRef>
          </c:cat>
          <c:val>
            <c:numRef>
              <c:f>Summary!$D$76:$J$76</c:f>
              <c:numCache>
                <c:formatCode>#,##0;\(#,##0\);"–"</c:formatCode>
                <c:ptCount val="7"/>
                <c:pt idx="0">
                  <c:v>335</c:v>
                </c:pt>
                <c:pt idx="1">
                  <c:v>487</c:v>
                </c:pt>
                <c:pt idx="2">
                  <c:v>672</c:v>
                </c:pt>
                <c:pt idx="3">
                  <c:v>922.65332595588234</c:v>
                </c:pt>
                <c:pt idx="4">
                  <c:v>1142.8728406588236</c:v>
                </c:pt>
                <c:pt idx="5">
                  <c:v>1380.1232847885099</c:v>
                </c:pt>
                <c:pt idx="6">
                  <c:v>1616.8843774967584</c:v>
                </c:pt>
              </c:numCache>
            </c:numRef>
          </c:val>
          <c:extLst>
            <c:ext xmlns:c16="http://schemas.microsoft.com/office/drawing/2014/chart" uri="{C3380CC4-5D6E-409C-BE32-E72D297353CC}">
              <c16:uniqueId val="{00000000-F2E5-4D79-9540-C2365BF455E3}"/>
            </c:ext>
          </c:extLst>
        </c:ser>
        <c:ser>
          <c:idx val="1"/>
          <c:order val="1"/>
          <c:tx>
            <c:v>Fintech gross profit</c:v>
          </c:tx>
          <c:spPr>
            <a:ln>
              <a:prstDash val="solid"/>
            </a:ln>
          </c:spPr>
          <c:invertIfNegative val="1"/>
          <c:cat>
            <c:strRef>
              <c:f>Summary!$D$75:$J$75</c:f>
              <c:strCache>
                <c:ptCount val="7"/>
                <c:pt idx="0">
                  <c:v>FY2023A</c:v>
                </c:pt>
                <c:pt idx="1">
                  <c:v>FY2024A</c:v>
                </c:pt>
                <c:pt idx="2">
                  <c:v>FY2025A</c:v>
                </c:pt>
                <c:pt idx="3">
                  <c:v>FY2026E</c:v>
                </c:pt>
                <c:pt idx="4">
                  <c:v>FY2027E</c:v>
                </c:pt>
                <c:pt idx="5">
                  <c:v>FY2028E</c:v>
                </c:pt>
                <c:pt idx="6">
                  <c:v>FY2029E</c:v>
                </c:pt>
              </c:strCache>
            </c:strRef>
          </c:cat>
          <c:val>
            <c:numRef>
              <c:f>Summary!$D$77:$J$77</c:f>
              <c:numCache>
                <c:formatCode>#,##0;\(#,##0\);"–"</c:formatCode>
                <c:ptCount val="7"/>
                <c:pt idx="0">
                  <c:v>685</c:v>
                </c:pt>
                <c:pt idx="1">
                  <c:v>877</c:v>
                </c:pt>
                <c:pt idx="2">
                  <c:v>1146</c:v>
                </c:pt>
                <c:pt idx="3">
                  <c:v>1423.28829723897</c:v>
                </c:pt>
                <c:pt idx="4">
                  <c:v>1706.5959105762006</c:v>
                </c:pt>
                <c:pt idx="5">
                  <c:v>1994.6881651397769</c:v>
                </c:pt>
                <c:pt idx="6">
                  <c:v>2287.2084387658606</c:v>
                </c:pt>
              </c:numCache>
            </c:numRef>
          </c:val>
          <c:extLst>
            <c:ext xmlns:c16="http://schemas.microsoft.com/office/drawing/2014/chart" uri="{C3380CC4-5D6E-409C-BE32-E72D297353CC}">
              <c16:uniqueId val="{00000001-F2E5-4D79-9540-C2365BF455E3}"/>
            </c:ext>
          </c:extLst>
        </c:ser>
        <c:ser>
          <c:idx val="2"/>
          <c:order val="2"/>
          <c:tx>
            <c:v>Hardware &amp; services gross profit</c:v>
          </c:tx>
          <c:spPr>
            <a:ln>
              <a:prstDash val="solid"/>
            </a:ln>
          </c:spPr>
          <c:invertIfNegative val="1"/>
          <c:cat>
            <c:strRef>
              <c:f>Summary!$D$75:$J$75</c:f>
              <c:strCache>
                <c:ptCount val="7"/>
                <c:pt idx="0">
                  <c:v>FY2023A</c:v>
                </c:pt>
                <c:pt idx="1">
                  <c:v>FY2024A</c:v>
                </c:pt>
                <c:pt idx="2">
                  <c:v>FY2025A</c:v>
                </c:pt>
                <c:pt idx="3">
                  <c:v>FY2026E</c:v>
                </c:pt>
                <c:pt idx="4">
                  <c:v>FY2027E</c:v>
                </c:pt>
                <c:pt idx="5">
                  <c:v>FY2028E</c:v>
                </c:pt>
                <c:pt idx="6">
                  <c:v>FY2029E</c:v>
                </c:pt>
              </c:strCache>
            </c:strRef>
          </c:cat>
          <c:val>
            <c:numRef>
              <c:f>Summary!$D$78:$J$78</c:f>
              <c:numCache>
                <c:formatCode>#,##0;\(#,##0\);"–"</c:formatCode>
                <c:ptCount val="7"/>
                <c:pt idx="0">
                  <c:v>-182</c:v>
                </c:pt>
                <c:pt idx="1">
                  <c:v>-170</c:v>
                </c:pt>
                <c:pt idx="2">
                  <c:v>-220</c:v>
                </c:pt>
                <c:pt idx="3">
                  <c:v>-275.2223529411765</c:v>
                </c:pt>
                <c:pt idx="4">
                  <c:v>-272</c:v>
                </c:pt>
                <c:pt idx="5">
                  <c:v>-268.60000000000002</c:v>
                </c:pt>
                <c:pt idx="6">
                  <c:v>-265.2</c:v>
                </c:pt>
              </c:numCache>
            </c:numRef>
          </c:val>
          <c:extLst>
            <c:ext xmlns:c16="http://schemas.microsoft.com/office/drawing/2014/chart" uri="{C3380CC4-5D6E-409C-BE32-E72D297353CC}">
              <c16:uniqueId val="{00000002-F2E5-4D79-9540-C2365BF455E3}"/>
            </c:ext>
          </c:extLst>
        </c:ser>
        <c:dLbls>
          <c:showLegendKey val="0"/>
          <c:showVal val="0"/>
          <c:showCatName val="0"/>
          <c:showSerName val="0"/>
          <c:showPercent val="0"/>
          <c:showBubbleSize val="0"/>
        </c:dLbls>
        <c:gapWidth val="150"/>
        <c:overlap val="100"/>
        <c:axId val="10"/>
        <c:axId val="100"/>
      </c:barChart>
      <c:catAx>
        <c:axId val="10"/>
        <c:scaling>
          <c:orientation val="minMax"/>
        </c:scaling>
        <c:delete val="0"/>
        <c:axPos val="b"/>
        <c:numFmt formatCode="General" sourceLinked="1"/>
        <c:majorTickMark val="none"/>
        <c:minorTickMark val="none"/>
        <c:tickLblPos val="nextTo"/>
        <c:crossAx val="100"/>
        <c:crosses val="autoZero"/>
        <c:auto val="1"/>
        <c:lblAlgn val="ctr"/>
        <c:lblOffset val="100"/>
        <c:noMultiLvlLbl val="1"/>
      </c:catAx>
      <c:valAx>
        <c:axId val="100"/>
        <c:scaling>
          <c:orientation val="minMax"/>
        </c:scaling>
        <c:delete val="0"/>
        <c:axPos val="l"/>
        <c:majorGridlines/>
        <c:numFmt formatCode="#,##0;\(#,##0\);&quot;–&quot;" sourceLinked="1"/>
        <c:majorTickMark val="none"/>
        <c:minorTickMark val="none"/>
        <c:tickLblPos val="nextTo"/>
        <c:crossAx val="10"/>
        <c:crosses val="autoZero"/>
        <c:crossBetween val="between"/>
      </c:valAx>
    </c:plotArea>
    <c:legend>
      <c:legendPos val="b"/>
      <c:overlay val="1"/>
    </c:legend>
    <c:plotVisOnly val="1"/>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29</xdr:row>
      <xdr:rowOff>0</xdr:rowOff>
    </xdr:from>
    <xdr:ext cx="8640000" cy="2880000"/>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xdr:col>
      <xdr:colOff>0</xdr:colOff>
      <xdr:row>47</xdr:row>
      <xdr:rowOff>0</xdr:rowOff>
    </xdr:from>
    <xdr:ext cx="8640000" cy="2880000"/>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9.xml.rels><?xml version="1.0" encoding="UTF-8" standalone="yes"?>
<Relationships xmlns="http://schemas.openxmlformats.org/package/2006/relationships"><Relationship Id="rId21" Type="http://schemas.openxmlformats.org/officeDocument/2006/relationships/hyperlink" Target="https://www.sec.gov/Archives/edgar/data/1650164/000165016426000164/tost-20260630.htm" TargetMode="External"/><Relationship Id="rId170" Type="http://schemas.openxmlformats.org/officeDocument/2006/relationships/hyperlink" Target="https://www.sec.gov/Archives/edgar/data/1650164/000165016426000114/tost-20260331.htm" TargetMode="External"/><Relationship Id="rId268" Type="http://schemas.openxmlformats.org/officeDocument/2006/relationships/hyperlink" Target="https://www.sec.gov/Archives/edgar/data/1650164/000165016425000341/tost-20250930.htm" TargetMode="External"/><Relationship Id="rId475" Type="http://schemas.openxmlformats.org/officeDocument/2006/relationships/hyperlink" Target="https://www.sec.gov/Archives/edgar/data/1650164/000165016424000177/tost-20240331.htm" TargetMode="External"/><Relationship Id="rId682" Type="http://schemas.openxmlformats.org/officeDocument/2006/relationships/hyperlink" Target="https://www.sec.gov/Archives/edgar/data/1650164/000165016426000057/tost-20251231.htm" TargetMode="External"/><Relationship Id="rId128" Type="http://schemas.openxmlformats.org/officeDocument/2006/relationships/hyperlink" Target="https://www.sec.gov/Archives/edgar/data/1650164/000165016425000072/tost-20241231.htm" TargetMode="External"/><Relationship Id="rId335" Type="http://schemas.openxmlformats.org/officeDocument/2006/relationships/hyperlink" Target="https://www.sec.gov/Archives/edgar/data/1650164/000165016425000290/tost-20250630.htm" TargetMode="External"/><Relationship Id="rId542" Type="http://schemas.openxmlformats.org/officeDocument/2006/relationships/hyperlink" Target="https://www.sec.gov/Archives/edgar/data/1650164/000165016423000369/tost-20230930.htm" TargetMode="External"/><Relationship Id="rId987" Type="http://schemas.openxmlformats.org/officeDocument/2006/relationships/hyperlink" Target="https://www.sec.gov/Archives/edgar/data/1650164/000165016425000341/tost-20250930.htm" TargetMode="External"/><Relationship Id="rId1172" Type="http://schemas.openxmlformats.org/officeDocument/2006/relationships/hyperlink" Target="https://www.sec.gov/Archives/edgar/data/1650164/000165016426000113/tost-20260331xexhibit991.htm" TargetMode="External"/><Relationship Id="rId402" Type="http://schemas.openxmlformats.org/officeDocument/2006/relationships/hyperlink" Target="https://www.sec.gov/Archives/edgar/data/1650164/000165016423000305/tost-20230630.htm" TargetMode="External"/><Relationship Id="rId847" Type="http://schemas.openxmlformats.org/officeDocument/2006/relationships/hyperlink" Target="https://www.sec.gov/Archives/edgar/data/1650164/000165016426000114/tost-20260331.htm" TargetMode="External"/><Relationship Id="rId1032" Type="http://schemas.openxmlformats.org/officeDocument/2006/relationships/hyperlink" Target="https://www.sec.gov/Archives/edgar/data/1650164/000165016424000175/tost-20240331xexhibit991.htm" TargetMode="External"/><Relationship Id="rId707" Type="http://schemas.openxmlformats.org/officeDocument/2006/relationships/hyperlink" Target="https://www.sec.gov/Archives/edgar/data/1650164/000165016426000114/tost-20260331.htm" TargetMode="External"/><Relationship Id="rId914" Type="http://schemas.openxmlformats.org/officeDocument/2006/relationships/hyperlink" Target="https://www.sec.gov/Archives/edgar/data/1650164/000165016424000084/tost-20231231.htm" TargetMode="External"/><Relationship Id="rId1337" Type="http://schemas.openxmlformats.org/officeDocument/2006/relationships/hyperlink" Target="https://www.sec.gov/Archives/edgar/data/1650164/000165016423000050/tost-20221231xexhibit991.htm" TargetMode="External"/><Relationship Id="rId43" Type="http://schemas.openxmlformats.org/officeDocument/2006/relationships/hyperlink" Target="https://www.sec.gov/Archives/edgar/data/1650164/000165016425000341/tost-20250930.htm" TargetMode="External"/><Relationship Id="rId1404" Type="http://schemas.openxmlformats.org/officeDocument/2006/relationships/hyperlink" Target="https://data.bls.gov/timeseries/CUUR0000SEFV" TargetMode="External"/><Relationship Id="rId192" Type="http://schemas.openxmlformats.org/officeDocument/2006/relationships/hyperlink" Target="https://www.sec.gov/Archives/edgar/data/1650164/000165016425000290/tost-20250630.htm" TargetMode="External"/><Relationship Id="rId497" Type="http://schemas.openxmlformats.org/officeDocument/2006/relationships/hyperlink" Target="https://www.sec.gov/Archives/edgar/data/1650164/000165016424000283/tost-20240630.htm" TargetMode="External"/><Relationship Id="rId357" Type="http://schemas.openxmlformats.org/officeDocument/2006/relationships/hyperlink" Target="https://www.sec.gov/Archives/edgar/data/1650164/000165016424000383/tost-20240930.htm" TargetMode="External"/><Relationship Id="rId1194" Type="http://schemas.openxmlformats.org/officeDocument/2006/relationships/hyperlink" Target="https://www.sec.gov/Archives/edgar/data/1650164/000165016426000113/tost-20260331xexhibit991.htm" TargetMode="External"/><Relationship Id="rId217" Type="http://schemas.openxmlformats.org/officeDocument/2006/relationships/hyperlink" Target="https://www.sec.gov/Archives/edgar/data/1650164/000165016425000290/tost-20250630.htm" TargetMode="External"/><Relationship Id="rId564" Type="http://schemas.openxmlformats.org/officeDocument/2006/relationships/hyperlink" Target="https://www.sec.gov/Archives/edgar/data/1650164/000165016425000341/tost-20250930.htm" TargetMode="External"/><Relationship Id="rId771" Type="http://schemas.openxmlformats.org/officeDocument/2006/relationships/hyperlink" Target="https://www.sec.gov/Archives/edgar/data/1650164/000165016422000031/tost-20220331.htm" TargetMode="External"/><Relationship Id="rId869" Type="http://schemas.openxmlformats.org/officeDocument/2006/relationships/hyperlink" Target="https://www.sec.gov/Archives/edgar/data/1650164/000165016422000009/tost-20211231.htm" TargetMode="External"/><Relationship Id="rId424" Type="http://schemas.openxmlformats.org/officeDocument/2006/relationships/hyperlink" Target="https://www.sec.gov/Archives/edgar/data/1650164/000165016426000057/tost-20251231.htm" TargetMode="External"/><Relationship Id="rId631" Type="http://schemas.openxmlformats.org/officeDocument/2006/relationships/hyperlink" Target="https://www.sec.gov/Archives/edgar/data/1650164/000165016423000168/tost-20230331.htm" TargetMode="External"/><Relationship Id="rId729" Type="http://schemas.openxmlformats.org/officeDocument/2006/relationships/hyperlink" Target="https://www.sec.gov/Archives/edgar/data/1650164/000165016422000009/tost-20211231.htm" TargetMode="External"/><Relationship Id="rId1054" Type="http://schemas.openxmlformats.org/officeDocument/2006/relationships/hyperlink" Target="https://www.sec.gov/Archives/edgar/data/1650164/000165016423000167/tost-20230331xexhibit991.htm" TargetMode="External"/><Relationship Id="rId1261" Type="http://schemas.openxmlformats.org/officeDocument/2006/relationships/hyperlink" Target="https://www.sec.gov/Archives/edgar/data/1650164/000165016426000162/tost-20260630xexhibit991.htm" TargetMode="External"/><Relationship Id="rId1359" Type="http://schemas.openxmlformats.org/officeDocument/2006/relationships/hyperlink" Target="https://www.sec.gov/Archives/edgar/data/1650164/000165016425000066/tost-20241231xexhibit991.htm" TargetMode="External"/><Relationship Id="rId936" Type="http://schemas.openxmlformats.org/officeDocument/2006/relationships/hyperlink" Target="https://www.sec.gov/Archives/edgar/data/1650164/000165016423000305/tost-20230630.htm" TargetMode="External"/><Relationship Id="rId1121" Type="http://schemas.openxmlformats.org/officeDocument/2006/relationships/hyperlink" Target="https://www.sec.gov/Archives/edgar/data/1650164/000165016426000113/tost-20260331xexhibit991.htm" TargetMode="External"/><Relationship Id="rId1219" Type="http://schemas.openxmlformats.org/officeDocument/2006/relationships/hyperlink" Target="https://www.sec.gov/Archives/edgar/data/1650164/000165016421000017/exhibit991.htm" TargetMode="External"/><Relationship Id="rId65" Type="http://schemas.openxmlformats.org/officeDocument/2006/relationships/hyperlink" Target="https://www.sec.gov/Archives/edgar/data/1650164/000165016424000383/tost-20240930.htm" TargetMode="External"/><Relationship Id="rId281" Type="http://schemas.openxmlformats.org/officeDocument/2006/relationships/hyperlink" Target="https://www.sec.gov/Archives/edgar/data/1650164/000165016424000283/tost-20240630.htm" TargetMode="External"/><Relationship Id="rId141" Type="http://schemas.openxmlformats.org/officeDocument/2006/relationships/hyperlink" Target="https://www.sec.gov/Archives/edgar/data/1650164/000165016425000177/tost-20250331.htm" TargetMode="External"/><Relationship Id="rId379" Type="http://schemas.openxmlformats.org/officeDocument/2006/relationships/hyperlink" Target="https://www.sec.gov/Archives/edgar/data/1650164/000165016423000369/tost-20230930.htm" TargetMode="External"/><Relationship Id="rId586" Type="http://schemas.openxmlformats.org/officeDocument/2006/relationships/hyperlink" Target="https://www.sec.gov/Archives/edgar/data/1650164/000165016426000114/tost-20260331.htm" TargetMode="External"/><Relationship Id="rId793" Type="http://schemas.openxmlformats.org/officeDocument/2006/relationships/hyperlink" Target="https://www.sec.gov/Archives/edgar/data/1650164/000165016422000142/tost-20220930.htm" TargetMode="External"/><Relationship Id="rId7" Type="http://schemas.openxmlformats.org/officeDocument/2006/relationships/hyperlink" Target="https://www.sec.gov/Archives/edgar/data/1650164/000165016422000142/tost-20220930.htm" TargetMode="External"/><Relationship Id="rId239" Type="http://schemas.openxmlformats.org/officeDocument/2006/relationships/hyperlink" Target="https://www.sec.gov/Archives/edgar/data/1650164/000165016424000383/tost-20240930.htm" TargetMode="External"/><Relationship Id="rId446" Type="http://schemas.openxmlformats.org/officeDocument/2006/relationships/hyperlink" Target="https://www.sec.gov/Archives/edgar/data/1650164/000165016425000072/tost-20241231.htm" TargetMode="External"/><Relationship Id="rId653" Type="http://schemas.openxmlformats.org/officeDocument/2006/relationships/hyperlink" Target="https://www.sec.gov/Archives/edgar/data/1650164/000165016422000142/tost-20220930.htm" TargetMode="External"/><Relationship Id="rId1076" Type="http://schemas.openxmlformats.org/officeDocument/2006/relationships/hyperlink" Target="https://www.sec.gov/Archives/edgar/data/1650164/000165016422000004/earningsrelease.htm" TargetMode="External"/><Relationship Id="rId1283" Type="http://schemas.openxmlformats.org/officeDocument/2006/relationships/hyperlink" Target="https://www.sec.gov/Archives/edgar/data/1650164/000165016424000381/tost-20240930xexhibit991.htm" TargetMode="External"/><Relationship Id="rId306" Type="http://schemas.openxmlformats.org/officeDocument/2006/relationships/hyperlink" Target="https://www.sec.gov/Archives/edgar/data/1650164/000165016424000283/tost-20240630.htm" TargetMode="External"/><Relationship Id="rId860" Type="http://schemas.openxmlformats.org/officeDocument/2006/relationships/hyperlink" Target="https://www.sec.gov/Archives/edgar/data/1650164/000165016424000283/tost-20240630.htm" TargetMode="External"/><Relationship Id="rId958" Type="http://schemas.openxmlformats.org/officeDocument/2006/relationships/hyperlink" Target="https://www.sec.gov/Archives/edgar/data/1650164/000165016426000057/tost-20251231.htm" TargetMode="External"/><Relationship Id="rId1143" Type="http://schemas.openxmlformats.org/officeDocument/2006/relationships/hyperlink" Target="https://www.sec.gov/Archives/edgar/data/1650164/000165016425000288/tost-20250630xexhibit991.htm" TargetMode="External"/><Relationship Id="rId87" Type="http://schemas.openxmlformats.org/officeDocument/2006/relationships/hyperlink" Target="https://www.sec.gov/Archives/edgar/data/1650164/000165016424000177/tost-20240331.htm" TargetMode="External"/><Relationship Id="rId513" Type="http://schemas.openxmlformats.org/officeDocument/2006/relationships/hyperlink" Target="https://www.sec.gov/Archives/edgar/data/1650164/000165016426000057/tost-20251231.htm" TargetMode="External"/><Relationship Id="rId720" Type="http://schemas.openxmlformats.org/officeDocument/2006/relationships/hyperlink" Target="https://www.sec.gov/Archives/edgar/data/1650164/000165016425000290/tost-20250630.htm" TargetMode="External"/><Relationship Id="rId818" Type="http://schemas.openxmlformats.org/officeDocument/2006/relationships/hyperlink" Target="https://www.sec.gov/Archives/edgar/data/1650164/000165016426000057/tost-20251231.htm" TargetMode="External"/><Relationship Id="rId1350" Type="http://schemas.openxmlformats.org/officeDocument/2006/relationships/hyperlink" Target="https://www.sec.gov/Archives/edgar/data/1650164/000165016425000288/tost-20250630xexhibit991.htm" TargetMode="External"/><Relationship Id="rId1003" Type="http://schemas.openxmlformats.org/officeDocument/2006/relationships/hyperlink" Target="https://www.sec.gov/Archives/edgar/data/1650164/000165016423000167/tost-20230331xexhibit991.htm" TargetMode="External"/><Relationship Id="rId1210" Type="http://schemas.openxmlformats.org/officeDocument/2006/relationships/hyperlink" Target="https://www.sec.gov/Archives/edgar/data/1650164/000165016425000288/tost-20250630xexhibit991.htm" TargetMode="External"/><Relationship Id="rId1308" Type="http://schemas.openxmlformats.org/officeDocument/2006/relationships/hyperlink" Target="https://www.sec.gov/Archives/edgar/data/1650164/000165016423000050/tost-20221231xexhibit991.htm" TargetMode="External"/><Relationship Id="rId14" Type="http://schemas.openxmlformats.org/officeDocument/2006/relationships/hyperlink" Target="https://www.sec.gov/Archives/edgar/data/1650164/000165016424000383/tost-20240930.htm" TargetMode="External"/><Relationship Id="rId163" Type="http://schemas.openxmlformats.org/officeDocument/2006/relationships/hyperlink" Target="https://www.sec.gov/Archives/edgar/data/1650164/000165016424000283/tost-20240630.htm" TargetMode="External"/><Relationship Id="rId370" Type="http://schemas.openxmlformats.org/officeDocument/2006/relationships/hyperlink" Target="https://www.sec.gov/Archives/edgar/data/1650164/000165016424000084/tost-20231231.htm" TargetMode="External"/><Relationship Id="rId230" Type="http://schemas.openxmlformats.org/officeDocument/2006/relationships/hyperlink" Target="https://www.sec.gov/Archives/edgar/data/1650164/000165016426000057/tost-20251231.htm" TargetMode="External"/><Relationship Id="rId468" Type="http://schemas.openxmlformats.org/officeDocument/2006/relationships/hyperlink" Target="https://www.sec.gov/Archives/edgar/data/1650164/000165016426000057/tost-20251231.htm" TargetMode="External"/><Relationship Id="rId675" Type="http://schemas.openxmlformats.org/officeDocument/2006/relationships/hyperlink" Target="https://www.sec.gov/Archives/edgar/data/1650164/000165016423000168/tost-20230331.htm" TargetMode="External"/><Relationship Id="rId882" Type="http://schemas.openxmlformats.org/officeDocument/2006/relationships/hyperlink" Target="https://www.sec.gov/Archives/edgar/data/1650164/000165016426000057/tost-20251231.htm" TargetMode="External"/><Relationship Id="rId1098" Type="http://schemas.openxmlformats.org/officeDocument/2006/relationships/hyperlink" Target="https://www.sec.gov/Archives/edgar/data/1650164/000165016426000113/tost-20260331xexhibit991.htm" TargetMode="External"/><Relationship Id="rId328" Type="http://schemas.openxmlformats.org/officeDocument/2006/relationships/hyperlink" Target="https://www.sec.gov/Archives/edgar/data/1650164/000165016423000369/tost-20230930.htm" TargetMode="External"/><Relationship Id="rId535" Type="http://schemas.openxmlformats.org/officeDocument/2006/relationships/hyperlink" Target="https://www.sec.gov/Archives/edgar/data/1650164/000165016425000072/tost-20241231.htm" TargetMode="External"/><Relationship Id="rId742" Type="http://schemas.openxmlformats.org/officeDocument/2006/relationships/hyperlink" Target="https://www.sec.gov/Archives/edgar/data/1650164/000165016426000057/tost-20251231.htm" TargetMode="External"/><Relationship Id="rId1165" Type="http://schemas.openxmlformats.org/officeDocument/2006/relationships/hyperlink" Target="https://www.sec.gov/Archives/edgar/data/1650164/000165016425000288/tost-20250630xexhibit991.htm" TargetMode="External"/><Relationship Id="rId1372" Type="http://schemas.openxmlformats.org/officeDocument/2006/relationships/hyperlink" Target="https://data.bls.gov/timeseries/CUUR0000SEFV" TargetMode="External"/><Relationship Id="rId602" Type="http://schemas.openxmlformats.org/officeDocument/2006/relationships/hyperlink" Target="https://www.sec.gov/Archives/edgar/data/1650164/000165016424000383/tost-20240930.htm" TargetMode="External"/><Relationship Id="rId1025" Type="http://schemas.openxmlformats.org/officeDocument/2006/relationships/hyperlink" Target="https://www.sec.gov/Archives/edgar/data/1650164/000165016422000089/tost-20220630xexhibit991.htm" TargetMode="External"/><Relationship Id="rId1232" Type="http://schemas.openxmlformats.org/officeDocument/2006/relationships/hyperlink" Target="https://www.sec.gov/Archives/edgar/data/1650164/000165016424000175/tost-20240331xexhibit991.htm" TargetMode="External"/><Relationship Id="rId907" Type="http://schemas.openxmlformats.org/officeDocument/2006/relationships/hyperlink" Target="https://www.sec.gov/Archives/edgar/data/1650164/000165016426000114/tost-20260331.htm" TargetMode="External"/><Relationship Id="rId36" Type="http://schemas.openxmlformats.org/officeDocument/2006/relationships/hyperlink" Target="https://www.sec.gov/Archives/edgar/data/1650164/000165016423000369/tost-20230930.htm" TargetMode="External"/><Relationship Id="rId185" Type="http://schemas.openxmlformats.org/officeDocument/2006/relationships/hyperlink" Target="https://www.sec.gov/Archives/edgar/data/1650164/000165016423000369/tost-20230930.htm" TargetMode="External"/><Relationship Id="rId392" Type="http://schemas.openxmlformats.org/officeDocument/2006/relationships/hyperlink" Target="https://www.sec.gov/Archives/edgar/data/1650164/000165016426000114/tost-20260331.htm" TargetMode="External"/><Relationship Id="rId697" Type="http://schemas.openxmlformats.org/officeDocument/2006/relationships/hyperlink" Target="https://www.sec.gov/Archives/edgar/data/1650164/000165016423000369/tost-20230930.htm" TargetMode="External"/><Relationship Id="rId252" Type="http://schemas.openxmlformats.org/officeDocument/2006/relationships/hyperlink" Target="https://www.sec.gov/Archives/edgar/data/1650164/000165016424000084/tost-20231231.htm" TargetMode="External"/><Relationship Id="rId1187" Type="http://schemas.openxmlformats.org/officeDocument/2006/relationships/hyperlink" Target="https://www.sec.gov/Archives/edgar/data/1650164/000165016425000288/tost-20250630xexhibit991.htm" TargetMode="External"/><Relationship Id="rId112" Type="http://schemas.openxmlformats.org/officeDocument/2006/relationships/hyperlink" Target="https://www.sec.gov/Archives/edgar/data/1650164/000165016424000177/tost-20240331.htm" TargetMode="External"/><Relationship Id="rId557" Type="http://schemas.openxmlformats.org/officeDocument/2006/relationships/hyperlink" Target="https://www.sec.gov/Archives/edgar/data/1650164/000165016426000057/tost-20251231.htm" TargetMode="External"/><Relationship Id="rId764" Type="http://schemas.openxmlformats.org/officeDocument/2006/relationships/hyperlink" Target="https://www.sec.gov/Archives/edgar/data/1650164/000165016425000290/tost-20250630.htm" TargetMode="External"/><Relationship Id="rId971" Type="http://schemas.openxmlformats.org/officeDocument/2006/relationships/hyperlink" Target="https://www.sec.gov/Archives/edgar/data/1650164/000165016422000009/tost-20211231.htm" TargetMode="External"/><Relationship Id="rId1394" Type="http://schemas.openxmlformats.org/officeDocument/2006/relationships/hyperlink" Target="https://data.bls.gov/timeseries/CUUR0000SEFV" TargetMode="External"/><Relationship Id="rId417" Type="http://schemas.openxmlformats.org/officeDocument/2006/relationships/hyperlink" Target="https://www.sec.gov/Archives/edgar/data/1650164/000165016426000114/tost-20260331.htm" TargetMode="External"/><Relationship Id="rId624" Type="http://schemas.openxmlformats.org/officeDocument/2006/relationships/hyperlink" Target="https://www.sec.gov/Archives/edgar/data/1650164/000165016426000164/tost-20260630.htm" TargetMode="External"/><Relationship Id="rId831" Type="http://schemas.openxmlformats.org/officeDocument/2006/relationships/hyperlink" Target="https://www.sec.gov/Archives/edgar/data/1650164/000165016422000031/tost-20220331.htm" TargetMode="External"/><Relationship Id="rId1047" Type="http://schemas.openxmlformats.org/officeDocument/2006/relationships/hyperlink" Target="https://www.sec.gov/Archives/edgar/data/1650164/000165016422000004/earningsrelease.htm" TargetMode="External"/><Relationship Id="rId1254" Type="http://schemas.openxmlformats.org/officeDocument/2006/relationships/hyperlink" Target="https://www.sec.gov/Archives/edgar/data/1650164/000165016425000066/tost-20241231xexhibit991.htm" TargetMode="External"/><Relationship Id="rId929" Type="http://schemas.openxmlformats.org/officeDocument/2006/relationships/hyperlink" Target="https://www.sec.gov/Archives/edgar/data/1650164/000165016422000009/tost-20211231.htm" TargetMode="External"/><Relationship Id="rId1114" Type="http://schemas.openxmlformats.org/officeDocument/2006/relationships/hyperlink" Target="https://www.sec.gov/Archives/edgar/data/1650164/000165016425000288/tost-20250630xexhibit991.htm" TargetMode="External"/><Relationship Id="rId1321" Type="http://schemas.openxmlformats.org/officeDocument/2006/relationships/hyperlink" Target="https://www.sec.gov/Archives/edgar/data/1650164/000165016425000288/tost-20250630xexhibit991.htm" TargetMode="External"/><Relationship Id="rId58" Type="http://schemas.openxmlformats.org/officeDocument/2006/relationships/hyperlink" Target="https://www.sec.gov/Archives/edgar/data/1650164/000165016423000168/tost-20230331.htm" TargetMode="External"/><Relationship Id="rId274" Type="http://schemas.openxmlformats.org/officeDocument/2006/relationships/hyperlink" Target="https://www.sec.gov/Archives/edgar/data/1650164/000165016426000114/tost-20260331.htm" TargetMode="External"/><Relationship Id="rId481" Type="http://schemas.openxmlformats.org/officeDocument/2006/relationships/hyperlink" Target="https://www.sec.gov/Archives/edgar/data/1650164/000165016426000114/tost-20260331.htm" TargetMode="External"/><Relationship Id="rId134" Type="http://schemas.openxmlformats.org/officeDocument/2006/relationships/hyperlink" Target="https://www.sec.gov/Archives/edgar/data/1650164/000165016423000305/tost-20230630.htm" TargetMode="External"/><Relationship Id="rId579" Type="http://schemas.openxmlformats.org/officeDocument/2006/relationships/hyperlink" Target="https://www.sec.gov/Archives/edgar/data/1650164/000165016423000369/tost-20230930.htm" TargetMode="External"/><Relationship Id="rId786" Type="http://schemas.openxmlformats.org/officeDocument/2006/relationships/hyperlink" Target="https://www.sec.gov/Archives/edgar/data/1650164/000165016426000164/tost-20260630.htm" TargetMode="External"/><Relationship Id="rId993" Type="http://schemas.openxmlformats.org/officeDocument/2006/relationships/hyperlink" Target="https://www.sec.gov/Archives/edgar/data/1650164/000165016422000027/tost-20220331xexhibit991.htm" TargetMode="External"/><Relationship Id="rId341" Type="http://schemas.openxmlformats.org/officeDocument/2006/relationships/hyperlink" Target="https://www.sec.gov/Archives/edgar/data/1650164/000165016425000341/tost-20250930.htm" TargetMode="External"/><Relationship Id="rId439" Type="http://schemas.openxmlformats.org/officeDocument/2006/relationships/hyperlink" Target="https://www.sec.gov/Archives/edgar/data/1650164/000165016426000164/tost-20260630.htm" TargetMode="External"/><Relationship Id="rId646" Type="http://schemas.openxmlformats.org/officeDocument/2006/relationships/hyperlink" Target="https://www.sec.gov/Archives/edgar/data/1650164/000165016426000164/tost-20260630.htm" TargetMode="External"/><Relationship Id="rId1069" Type="http://schemas.openxmlformats.org/officeDocument/2006/relationships/hyperlink" Target="https://www.sec.gov/Archives/edgar/data/1650164/000165016426000113/tost-20260331xexhibit991.htm" TargetMode="External"/><Relationship Id="rId1276" Type="http://schemas.openxmlformats.org/officeDocument/2006/relationships/hyperlink" Target="https://www.sec.gov/Archives/edgar/data/1650164/000165016426000050/tost-20251231xexhibit991.htm" TargetMode="External"/><Relationship Id="rId201" Type="http://schemas.openxmlformats.org/officeDocument/2006/relationships/hyperlink" Target="https://www.sec.gov/Archives/edgar/data/1650164/000165016423000069/tost-20221231.htm" TargetMode="External"/><Relationship Id="rId506" Type="http://schemas.openxmlformats.org/officeDocument/2006/relationships/hyperlink" Target="https://www.sec.gov/Archives/edgar/data/1650164/000165016426000164/tost-20260630.htm" TargetMode="External"/><Relationship Id="rId853" Type="http://schemas.openxmlformats.org/officeDocument/2006/relationships/hyperlink" Target="https://www.sec.gov/Archives/edgar/data/1650164/000165016422000142/tost-20220930.htm" TargetMode="External"/><Relationship Id="rId1136" Type="http://schemas.openxmlformats.org/officeDocument/2006/relationships/hyperlink" Target="https://www.sec.gov/Archives/edgar/data/1650164/000165016424000381/tost-20240930xexhibit991.htm" TargetMode="External"/><Relationship Id="rId713" Type="http://schemas.openxmlformats.org/officeDocument/2006/relationships/hyperlink" Target="https://www.sec.gov/Archives/edgar/data/1650164/000165016423000369/tost-20230930.htm" TargetMode="External"/><Relationship Id="rId920" Type="http://schemas.openxmlformats.org/officeDocument/2006/relationships/hyperlink" Target="https://www.sec.gov/Archives/edgar/data/1650164/000165016424000283/tost-20240630.htm" TargetMode="External"/><Relationship Id="rId1343" Type="http://schemas.openxmlformats.org/officeDocument/2006/relationships/hyperlink" Target="https://www.sec.gov/Archives/edgar/data/1650164/000165016424000069/tost-20231231xexhibit991.htm" TargetMode="External"/><Relationship Id="rId1203" Type="http://schemas.openxmlformats.org/officeDocument/2006/relationships/hyperlink" Target="https://www.sec.gov/Archives/edgar/data/1650164/000165016423000368/tost-20230930xexhibit9911.htm" TargetMode="External"/><Relationship Id="rId1410" Type="http://schemas.openxmlformats.org/officeDocument/2006/relationships/hyperlink" Target="https://s28.q4cdn.com/141746709/files/doc_financials/2025/q4/Q4-25-Prepared-Remarks.pdf" TargetMode="External"/><Relationship Id="rId296" Type="http://schemas.openxmlformats.org/officeDocument/2006/relationships/hyperlink" Target="https://www.sec.gov/Archives/edgar/data/1650164/000165016425000072/tost-20241231.htm" TargetMode="External"/><Relationship Id="rId156" Type="http://schemas.openxmlformats.org/officeDocument/2006/relationships/hyperlink" Target="https://www.sec.gov/Archives/edgar/data/1650164/000165016426000057/tost-20251231.htm" TargetMode="External"/><Relationship Id="rId363" Type="http://schemas.openxmlformats.org/officeDocument/2006/relationships/hyperlink" Target="https://www.sec.gov/Archives/edgar/data/1650164/000165016426000114/tost-20260331.htm" TargetMode="External"/><Relationship Id="rId570" Type="http://schemas.openxmlformats.org/officeDocument/2006/relationships/hyperlink" Target="https://www.sec.gov/Archives/edgar/data/1650164/000165016423000069/tost-20221231.htm" TargetMode="External"/><Relationship Id="rId223" Type="http://schemas.openxmlformats.org/officeDocument/2006/relationships/hyperlink" Target="https://www.sec.gov/Archives/edgar/data/1650164/000165016425000341/tost-20250930.htm" TargetMode="External"/><Relationship Id="rId430" Type="http://schemas.openxmlformats.org/officeDocument/2006/relationships/hyperlink" Target="https://www.sec.gov/Archives/edgar/data/1650164/000165016424000177/tost-20240331.htm" TargetMode="External"/><Relationship Id="rId668" Type="http://schemas.openxmlformats.org/officeDocument/2006/relationships/hyperlink" Target="https://www.sec.gov/Archives/edgar/data/1650164/000165016426000164/tost-20260630.htm" TargetMode="External"/><Relationship Id="rId875" Type="http://schemas.openxmlformats.org/officeDocument/2006/relationships/hyperlink" Target="https://www.sec.gov/Archives/edgar/data/1650164/000165016423000168/tost-20230331.htm" TargetMode="External"/><Relationship Id="rId1060" Type="http://schemas.openxmlformats.org/officeDocument/2006/relationships/hyperlink" Target="https://www.sec.gov/Archives/edgar/data/1650164/000165016424000282/tost-20240630xexhibit991.htm" TargetMode="External"/><Relationship Id="rId1298" Type="http://schemas.openxmlformats.org/officeDocument/2006/relationships/hyperlink" Target="https://www.sec.gov/Archives/edgar/data/1650164/000165016421000017/exhibit991.htm" TargetMode="External"/><Relationship Id="rId528" Type="http://schemas.openxmlformats.org/officeDocument/2006/relationships/hyperlink" Target="https://www.sec.gov/Archives/edgar/data/1650164/000165016426000114/tost-20260331.htm" TargetMode="External"/><Relationship Id="rId735" Type="http://schemas.openxmlformats.org/officeDocument/2006/relationships/hyperlink" Target="https://www.sec.gov/Archives/edgar/data/1650164/000165016423000168/tost-20230331.htm" TargetMode="External"/><Relationship Id="rId942" Type="http://schemas.openxmlformats.org/officeDocument/2006/relationships/hyperlink" Target="https://www.sec.gov/Archives/edgar/data/1650164/000165016426000057/tost-20251231.htm" TargetMode="External"/><Relationship Id="rId1158" Type="http://schemas.openxmlformats.org/officeDocument/2006/relationships/hyperlink" Target="https://www.sec.gov/Archives/edgar/data/1650164/000165016424000381/tost-20240930xexhibit991.htm" TargetMode="External"/><Relationship Id="rId1365" Type="http://schemas.openxmlformats.org/officeDocument/2006/relationships/hyperlink" Target="https://www.sec.gov/Archives/edgar/data/1650164/000165016425000175/tost-20250331xexhibit991.htm" TargetMode="External"/><Relationship Id="rId1018" Type="http://schemas.openxmlformats.org/officeDocument/2006/relationships/hyperlink" Target="https://www.sec.gov/Archives/edgar/data/1650164/000165016426000162/tost-20260630xexhibit991.htm" TargetMode="External"/><Relationship Id="rId1225" Type="http://schemas.openxmlformats.org/officeDocument/2006/relationships/hyperlink" Target="https://www.sec.gov/Archives/edgar/data/1650164/000165016423000050/tost-20221231xexhibit991.htm" TargetMode="External"/><Relationship Id="rId71" Type="http://schemas.openxmlformats.org/officeDocument/2006/relationships/hyperlink" Target="https://www.sec.gov/Archives/edgar/data/1650164/000165016426000164/tost-20260630.htm" TargetMode="External"/><Relationship Id="rId802" Type="http://schemas.openxmlformats.org/officeDocument/2006/relationships/hyperlink" Target="https://www.sec.gov/Archives/edgar/data/1650164/000165016426000057/tost-20251231.htm" TargetMode="External"/><Relationship Id="rId29" Type="http://schemas.openxmlformats.org/officeDocument/2006/relationships/hyperlink" Target="https://www.sec.gov/Archives/edgar/data/1650164/000165016426000057/tost-20251231.htm" TargetMode="External"/><Relationship Id="rId178" Type="http://schemas.openxmlformats.org/officeDocument/2006/relationships/hyperlink" Target="https://www.sec.gov/Archives/edgar/data/1650164/000165016425000072/tost-20241231.htm" TargetMode="External"/><Relationship Id="rId385" Type="http://schemas.openxmlformats.org/officeDocument/2006/relationships/hyperlink" Target="https://www.sec.gov/Archives/edgar/data/1650164/000165016425000290/tost-20250630.htm" TargetMode="External"/><Relationship Id="rId592" Type="http://schemas.openxmlformats.org/officeDocument/2006/relationships/hyperlink" Target="https://www.sec.gov/Archives/edgar/data/1650164/000165016424000084/tost-20231231.htm" TargetMode="External"/><Relationship Id="rId245" Type="http://schemas.openxmlformats.org/officeDocument/2006/relationships/hyperlink" Target="https://www.sec.gov/Archives/edgar/data/1650164/000165016426000114/tost-20260331.htm" TargetMode="External"/><Relationship Id="rId452" Type="http://schemas.openxmlformats.org/officeDocument/2006/relationships/hyperlink" Target="https://www.sec.gov/Archives/edgar/data/1650164/000165016423000305/tost-20230630.htm" TargetMode="External"/><Relationship Id="rId897" Type="http://schemas.openxmlformats.org/officeDocument/2006/relationships/hyperlink" Target="https://www.sec.gov/Archives/edgar/data/1650164/000165016423000369/tost-20230930.htm" TargetMode="External"/><Relationship Id="rId1082" Type="http://schemas.openxmlformats.org/officeDocument/2006/relationships/hyperlink" Target="https://www.sec.gov/Archives/edgar/data/1650164/000165016423000050/tost-20221231xexhibit991.htm" TargetMode="External"/><Relationship Id="rId105" Type="http://schemas.openxmlformats.org/officeDocument/2006/relationships/hyperlink" Target="https://www.sec.gov/Archives/edgar/data/1650164/000165016426000057/tost-20251231.htm" TargetMode="External"/><Relationship Id="rId312" Type="http://schemas.openxmlformats.org/officeDocument/2006/relationships/hyperlink" Target="https://www.sec.gov/Archives/edgar/data/1650164/000165016425000341/tost-20250930.htm" TargetMode="External"/><Relationship Id="rId757" Type="http://schemas.openxmlformats.org/officeDocument/2006/relationships/hyperlink" Target="https://www.sec.gov/Archives/edgar/data/1650164/000165016423000369/tost-20230930.htm" TargetMode="External"/><Relationship Id="rId964" Type="http://schemas.openxmlformats.org/officeDocument/2006/relationships/hyperlink" Target="https://www.sec.gov/Archives/edgar/data/1650164/000165016426000164/tost-20260630.htm" TargetMode="External"/><Relationship Id="rId1387" Type="http://schemas.openxmlformats.org/officeDocument/2006/relationships/hyperlink" Target="https://data.bls.gov/timeseries/CUUR0000SEFV" TargetMode="External"/><Relationship Id="rId93" Type="http://schemas.openxmlformats.org/officeDocument/2006/relationships/hyperlink" Target="https://www.sec.gov/Archives/edgar/data/1650164/000165016425000341/tost-20250930.htm" TargetMode="External"/><Relationship Id="rId617" Type="http://schemas.openxmlformats.org/officeDocument/2006/relationships/hyperlink" Target="https://www.sec.gov/Archives/edgar/data/1650164/000165016424000383/tost-20240930.htm" TargetMode="External"/><Relationship Id="rId824" Type="http://schemas.openxmlformats.org/officeDocument/2006/relationships/hyperlink" Target="https://www.sec.gov/Archives/edgar/data/1650164/000165016426000164/tost-20260630.htm" TargetMode="External"/><Relationship Id="rId1247" Type="http://schemas.openxmlformats.org/officeDocument/2006/relationships/hyperlink" Target="https://www.sec.gov/Archives/edgar/data/1650164/000165016424000381/tost-20240930xexhibit991.htm" TargetMode="External"/><Relationship Id="rId1107" Type="http://schemas.openxmlformats.org/officeDocument/2006/relationships/hyperlink" Target="https://www.sec.gov/Archives/edgar/data/1650164/000165016424000069/tost-20231231xexhibit991.htm" TargetMode="External"/><Relationship Id="rId1314" Type="http://schemas.openxmlformats.org/officeDocument/2006/relationships/hyperlink" Target="https://www.sec.gov/Archives/edgar/data/1650164/000165016424000069/tost-20231231xexhibit991.htm" TargetMode="External"/><Relationship Id="rId20" Type="http://schemas.openxmlformats.org/officeDocument/2006/relationships/hyperlink" Target="https://www.sec.gov/Archives/edgar/data/1650164/000165016426000114/tost-20260331.htm" TargetMode="External"/><Relationship Id="rId267" Type="http://schemas.openxmlformats.org/officeDocument/2006/relationships/hyperlink" Target="https://www.sec.gov/Archives/edgar/data/1650164/000165016425000290/tost-20250630.htm" TargetMode="External"/><Relationship Id="rId474" Type="http://schemas.openxmlformats.org/officeDocument/2006/relationships/hyperlink" Target="https://www.sec.gov/Archives/edgar/data/1650164/000165016423000369/tost-20230930.htm" TargetMode="External"/><Relationship Id="rId127" Type="http://schemas.openxmlformats.org/officeDocument/2006/relationships/hyperlink" Target="https://www.sec.gov/Archives/edgar/data/1650164/000165016424000084/tost-20231231.htm" TargetMode="External"/><Relationship Id="rId681" Type="http://schemas.openxmlformats.org/officeDocument/2006/relationships/hyperlink" Target="https://www.sec.gov/Archives/edgar/data/1650164/000165016424000383/tost-20240930.htm" TargetMode="External"/><Relationship Id="rId779" Type="http://schemas.openxmlformats.org/officeDocument/2006/relationships/hyperlink" Target="https://www.sec.gov/Archives/edgar/data/1650164/000165016424000177/tost-20240331.htm" TargetMode="External"/><Relationship Id="rId986" Type="http://schemas.openxmlformats.org/officeDocument/2006/relationships/hyperlink" Target="https://www.sec.gov/Archives/edgar/data/1650164/000165016425000290/tost-20250630.htm" TargetMode="External"/><Relationship Id="rId334" Type="http://schemas.openxmlformats.org/officeDocument/2006/relationships/hyperlink" Target="https://www.sec.gov/Archives/edgar/data/1650164/000165016425000177/tost-20250331.htm" TargetMode="External"/><Relationship Id="rId541" Type="http://schemas.openxmlformats.org/officeDocument/2006/relationships/hyperlink" Target="https://www.sec.gov/Archives/edgar/data/1650164/000165016423000305/tost-20230630.htm" TargetMode="External"/><Relationship Id="rId639" Type="http://schemas.openxmlformats.org/officeDocument/2006/relationships/hyperlink" Target="https://www.sec.gov/Archives/edgar/data/1650164/000165016425000177/tost-20250331.htm" TargetMode="External"/><Relationship Id="rId1171" Type="http://schemas.openxmlformats.org/officeDocument/2006/relationships/hyperlink" Target="https://www.sec.gov/Archives/edgar/data/1650164/000165016426000050/tost-20251231xexhibit991.htm" TargetMode="External"/><Relationship Id="rId1269" Type="http://schemas.openxmlformats.org/officeDocument/2006/relationships/hyperlink" Target="https://www.sec.gov/Archives/edgar/data/1650164/000165016424000282/tost-20240630xexhibit991.htm" TargetMode="External"/><Relationship Id="rId401" Type="http://schemas.openxmlformats.org/officeDocument/2006/relationships/hyperlink" Target="https://www.sec.gov/Archives/edgar/data/1650164/000165016423000168/tost-20230331.htm" TargetMode="External"/><Relationship Id="rId846" Type="http://schemas.openxmlformats.org/officeDocument/2006/relationships/hyperlink" Target="https://www.sec.gov/Archives/edgar/data/1650164/000165016426000164/tost-20260630.htm" TargetMode="External"/><Relationship Id="rId1031" Type="http://schemas.openxmlformats.org/officeDocument/2006/relationships/hyperlink" Target="https://www.sec.gov/Archives/edgar/data/1650164/000165016424000069/tost-20231231xexhibit991.htm" TargetMode="External"/><Relationship Id="rId1129" Type="http://schemas.openxmlformats.org/officeDocument/2006/relationships/hyperlink" Target="https://www.sec.gov/Archives/edgar/data/1650164/000165016423000368/tost-20230930xexhibit9911.htm" TargetMode="External"/><Relationship Id="rId706" Type="http://schemas.openxmlformats.org/officeDocument/2006/relationships/hyperlink" Target="https://www.sec.gov/Archives/edgar/data/1650164/000165016426000164/tost-20260630.htm" TargetMode="External"/><Relationship Id="rId913" Type="http://schemas.openxmlformats.org/officeDocument/2006/relationships/hyperlink" Target="https://www.sec.gov/Archives/edgar/data/1650164/000165016422000142/tost-20220930.htm" TargetMode="External"/><Relationship Id="rId1336" Type="http://schemas.openxmlformats.org/officeDocument/2006/relationships/hyperlink" Target="https://www.sec.gov/Archives/edgar/data/1650164/000165016422000141/tost-20220930xexhibit991.htm" TargetMode="External"/><Relationship Id="rId42" Type="http://schemas.openxmlformats.org/officeDocument/2006/relationships/hyperlink" Target="https://www.sec.gov/Archives/edgar/data/1650164/000165016425000290/tost-20250630.htm" TargetMode="External"/><Relationship Id="rId1403" Type="http://schemas.openxmlformats.org/officeDocument/2006/relationships/hyperlink" Target="https://data.bls.gov/timeseries/CUUR0000SEFV" TargetMode="External"/><Relationship Id="rId191" Type="http://schemas.openxmlformats.org/officeDocument/2006/relationships/hyperlink" Target="https://www.sec.gov/Archives/edgar/data/1650164/000165016425000177/tost-20250331.htm" TargetMode="External"/><Relationship Id="rId289" Type="http://schemas.openxmlformats.org/officeDocument/2006/relationships/hyperlink" Target="https://www.sec.gov/Archives/edgar/data/1650164/000165016426000164/tost-20260630.htm" TargetMode="External"/><Relationship Id="rId496" Type="http://schemas.openxmlformats.org/officeDocument/2006/relationships/hyperlink" Target="https://www.sec.gov/Archives/edgar/data/1650164/000165016424000177/tost-20240331.htm" TargetMode="External"/><Relationship Id="rId149" Type="http://schemas.openxmlformats.org/officeDocument/2006/relationships/hyperlink" Target="https://www.sec.gov/Archives/edgar/data/1650164/000165016426000114/tost-20260331.htm" TargetMode="External"/><Relationship Id="rId356" Type="http://schemas.openxmlformats.org/officeDocument/2006/relationships/hyperlink" Target="https://www.sec.gov/Archives/edgar/data/1650164/000165016424000283/tost-20240630.htm" TargetMode="External"/><Relationship Id="rId563" Type="http://schemas.openxmlformats.org/officeDocument/2006/relationships/hyperlink" Target="https://www.sec.gov/Archives/edgar/data/1650164/000165016425000290/tost-20250630.htm" TargetMode="External"/><Relationship Id="rId770" Type="http://schemas.openxmlformats.org/officeDocument/2006/relationships/hyperlink" Target="https://www.sec.gov/Archives/edgar/data/1650164/000165016423000069/tost-20221231.htm" TargetMode="External"/><Relationship Id="rId1193" Type="http://schemas.openxmlformats.org/officeDocument/2006/relationships/hyperlink" Target="https://www.sec.gov/Archives/edgar/data/1650164/000165016426000050/tost-20251231xexhibit991.htm" TargetMode="External"/><Relationship Id="rId216" Type="http://schemas.openxmlformats.org/officeDocument/2006/relationships/hyperlink" Target="https://www.sec.gov/Archives/edgar/data/1650164/000165016425000177/tost-20250331.htm" TargetMode="External"/><Relationship Id="rId423" Type="http://schemas.openxmlformats.org/officeDocument/2006/relationships/hyperlink" Target="https://www.sec.gov/Archives/edgar/data/1650164/000165016426000057/tost-20251231.htm" TargetMode="External"/><Relationship Id="rId868" Type="http://schemas.openxmlformats.org/officeDocument/2006/relationships/hyperlink" Target="https://www.sec.gov/Archives/edgar/data/1650164/000165016426000164/tost-20260630.htm" TargetMode="External"/><Relationship Id="rId1053" Type="http://schemas.openxmlformats.org/officeDocument/2006/relationships/hyperlink" Target="https://www.sec.gov/Archives/edgar/data/1650164/000165016423000050/tost-20221231xexhibit991.htm" TargetMode="External"/><Relationship Id="rId1260" Type="http://schemas.openxmlformats.org/officeDocument/2006/relationships/hyperlink" Target="https://www.sec.gov/Archives/edgar/data/1650164/000165016426000113/tost-20260331xexhibit991.htm" TargetMode="External"/><Relationship Id="rId630" Type="http://schemas.openxmlformats.org/officeDocument/2006/relationships/hyperlink" Target="https://www.sec.gov/Archives/edgar/data/1650164/000165016424000084/tost-20231231.htm" TargetMode="External"/><Relationship Id="rId728" Type="http://schemas.openxmlformats.org/officeDocument/2006/relationships/hyperlink" Target="https://www.sec.gov/Archives/edgar/data/1650164/000165016426000164/tost-20260630.htm" TargetMode="External"/><Relationship Id="rId935" Type="http://schemas.openxmlformats.org/officeDocument/2006/relationships/hyperlink" Target="https://www.sec.gov/Archives/edgar/data/1650164/000165016423000168/tost-20230331.htm" TargetMode="External"/><Relationship Id="rId1358" Type="http://schemas.openxmlformats.org/officeDocument/2006/relationships/hyperlink" Target="https://www.sec.gov/Archives/edgar/data/1650164/000165016424000381/tost-20240930xexhibit991.htm" TargetMode="External"/><Relationship Id="rId64" Type="http://schemas.openxmlformats.org/officeDocument/2006/relationships/hyperlink" Target="https://www.sec.gov/Archives/edgar/data/1650164/000165016424000383/tost-20240930.htm" TargetMode="External"/><Relationship Id="rId1120" Type="http://schemas.openxmlformats.org/officeDocument/2006/relationships/hyperlink" Target="https://www.sec.gov/Archives/edgar/data/1650164/000165016426000050/tost-20251231xexhibit991.htm" TargetMode="External"/><Relationship Id="rId1218" Type="http://schemas.openxmlformats.org/officeDocument/2006/relationships/hyperlink" Target="https://www.sec.gov/Archives/edgar/data/1650164/000165016422000089/tost-20220630xexhibit991.htm" TargetMode="External"/><Relationship Id="rId280" Type="http://schemas.openxmlformats.org/officeDocument/2006/relationships/hyperlink" Target="https://www.sec.gov/Archives/edgar/data/1650164/000165016424000177/tost-20240331.htm" TargetMode="External"/><Relationship Id="rId140" Type="http://schemas.openxmlformats.org/officeDocument/2006/relationships/hyperlink" Target="https://www.sec.gov/Archives/edgar/data/1650164/000165016424000383/tost-20240930.htm" TargetMode="External"/><Relationship Id="rId378" Type="http://schemas.openxmlformats.org/officeDocument/2006/relationships/hyperlink" Target="https://www.sec.gov/Archives/edgar/data/1650164/000165016423000369/tost-20230930.htm" TargetMode="External"/><Relationship Id="rId585" Type="http://schemas.openxmlformats.org/officeDocument/2006/relationships/hyperlink" Target="https://www.sec.gov/Archives/edgar/data/1650164/000165016425000341/tost-20250930.htm" TargetMode="External"/><Relationship Id="rId792" Type="http://schemas.openxmlformats.org/officeDocument/2006/relationships/hyperlink" Target="https://www.sec.gov/Archives/edgar/data/1650164/000165016422000092/tost-20220630.htm" TargetMode="External"/><Relationship Id="rId6" Type="http://schemas.openxmlformats.org/officeDocument/2006/relationships/hyperlink" Target="https://www.sec.gov/Archives/edgar/data/1650164/000165016426000057/tost-20251231.htm" TargetMode="External"/><Relationship Id="rId238" Type="http://schemas.openxmlformats.org/officeDocument/2006/relationships/hyperlink" Target="https://www.sec.gov/Archives/edgar/data/1650164/000165016424000283/tost-20240630.htm" TargetMode="External"/><Relationship Id="rId445" Type="http://schemas.openxmlformats.org/officeDocument/2006/relationships/hyperlink" Target="https://www.sec.gov/Archives/edgar/data/1650164/000165016424000084/tost-20231231.htm" TargetMode="External"/><Relationship Id="rId652" Type="http://schemas.openxmlformats.org/officeDocument/2006/relationships/hyperlink" Target="https://www.sec.gov/Archives/edgar/data/1650164/000165016422000092/tost-20220630.htm" TargetMode="External"/><Relationship Id="rId1075" Type="http://schemas.openxmlformats.org/officeDocument/2006/relationships/hyperlink" Target="https://www.sec.gov/Archives/edgar/data/1650164/000165016421000017/exhibit991.htm" TargetMode="External"/><Relationship Id="rId1282" Type="http://schemas.openxmlformats.org/officeDocument/2006/relationships/hyperlink" Target="https://www.sec.gov/Archives/edgar/data/1650164/000165016424000282/tost-20240630xexhibit991.htm" TargetMode="External"/><Relationship Id="rId305" Type="http://schemas.openxmlformats.org/officeDocument/2006/relationships/hyperlink" Target="https://www.sec.gov/Archives/edgar/data/1650164/000165016424000177/tost-20240331.htm" TargetMode="External"/><Relationship Id="rId512" Type="http://schemas.openxmlformats.org/officeDocument/2006/relationships/hyperlink" Target="https://www.sec.gov/Archives/edgar/data/1650164/000165016426000057/tost-20251231.htm" TargetMode="External"/><Relationship Id="rId957" Type="http://schemas.openxmlformats.org/officeDocument/2006/relationships/hyperlink" Target="https://www.sec.gov/Archives/edgar/data/1650164/000165016424000383/tost-20240930.htm" TargetMode="External"/><Relationship Id="rId1142" Type="http://schemas.openxmlformats.org/officeDocument/2006/relationships/hyperlink" Target="https://www.sec.gov/Archives/edgar/data/1650164/000165016425000175/tost-20250331xexhibit991.htm" TargetMode="External"/><Relationship Id="rId86" Type="http://schemas.openxmlformats.org/officeDocument/2006/relationships/hyperlink" Target="https://www.sec.gov/Archives/edgar/data/1650164/000165016423000369/tost-20230930.htm" TargetMode="External"/><Relationship Id="rId817" Type="http://schemas.openxmlformats.org/officeDocument/2006/relationships/hyperlink" Target="https://www.sec.gov/Archives/edgar/data/1650164/000165016424000383/tost-20240930.htm" TargetMode="External"/><Relationship Id="rId1002" Type="http://schemas.openxmlformats.org/officeDocument/2006/relationships/hyperlink" Target="https://www.sec.gov/Archives/edgar/data/1650164/000165016423000050/tost-20221231xexhibit991.htm" TargetMode="External"/><Relationship Id="rId1307" Type="http://schemas.openxmlformats.org/officeDocument/2006/relationships/hyperlink" Target="https://www.sec.gov/Archives/edgar/data/1650164/000165016422000141/tost-20220930xexhibit991.htm" TargetMode="External"/><Relationship Id="rId13" Type="http://schemas.openxmlformats.org/officeDocument/2006/relationships/hyperlink" Target="https://www.sec.gov/Archives/edgar/data/1650164/000165016424000283/tost-20240630.htm" TargetMode="External"/><Relationship Id="rId162" Type="http://schemas.openxmlformats.org/officeDocument/2006/relationships/hyperlink" Target="https://www.sec.gov/Archives/edgar/data/1650164/000165016424000177/tost-20240331.htm" TargetMode="External"/><Relationship Id="rId467" Type="http://schemas.openxmlformats.org/officeDocument/2006/relationships/hyperlink" Target="https://www.sec.gov/Archives/edgar/data/1650164/000165016425000072/tost-20241231.htm" TargetMode="External"/><Relationship Id="rId1097" Type="http://schemas.openxmlformats.org/officeDocument/2006/relationships/hyperlink" Target="https://www.sec.gov/Archives/edgar/data/1650164/000165016426000050/tost-20251231xexhibit991.htm" TargetMode="External"/><Relationship Id="rId674" Type="http://schemas.openxmlformats.org/officeDocument/2006/relationships/hyperlink" Target="https://www.sec.gov/Archives/edgar/data/1650164/000165016424000084/tost-20231231.htm" TargetMode="External"/><Relationship Id="rId881" Type="http://schemas.openxmlformats.org/officeDocument/2006/relationships/hyperlink" Target="https://www.sec.gov/Archives/edgar/data/1650164/000165016424000383/tost-20240930.htm" TargetMode="External"/><Relationship Id="rId979" Type="http://schemas.openxmlformats.org/officeDocument/2006/relationships/hyperlink" Target="https://www.sec.gov/Archives/edgar/data/1650164/000165016423000369/tost-20230930.htm" TargetMode="External"/><Relationship Id="rId327" Type="http://schemas.openxmlformats.org/officeDocument/2006/relationships/hyperlink" Target="https://www.sec.gov/Archives/edgar/data/1650164/000165016423000305/tost-20230630.htm" TargetMode="External"/><Relationship Id="rId534" Type="http://schemas.openxmlformats.org/officeDocument/2006/relationships/hyperlink" Target="https://www.sec.gov/Archives/edgar/data/1650164/000165016424000084/tost-20231231.htm" TargetMode="External"/><Relationship Id="rId741" Type="http://schemas.openxmlformats.org/officeDocument/2006/relationships/hyperlink" Target="https://www.sec.gov/Archives/edgar/data/1650164/000165016424000383/tost-20240930.htm" TargetMode="External"/><Relationship Id="rId839" Type="http://schemas.openxmlformats.org/officeDocument/2006/relationships/hyperlink" Target="https://www.sec.gov/Archives/edgar/data/1650164/000165016424000177/tost-20240331.htm" TargetMode="External"/><Relationship Id="rId1164" Type="http://schemas.openxmlformats.org/officeDocument/2006/relationships/hyperlink" Target="https://www.sec.gov/Archives/edgar/data/1650164/000165016425000175/tost-20250331xexhibit991.htm" TargetMode="External"/><Relationship Id="rId1371" Type="http://schemas.openxmlformats.org/officeDocument/2006/relationships/hyperlink" Target="https://www.sec.gov/Archives/edgar/data/1650164/000165016426000162/tost-20260630xexhibit991.htm" TargetMode="External"/><Relationship Id="rId601" Type="http://schemas.openxmlformats.org/officeDocument/2006/relationships/hyperlink" Target="https://www.sec.gov/Archives/edgar/data/1650164/000165016424000283/tost-20240630.htm" TargetMode="External"/><Relationship Id="rId1024" Type="http://schemas.openxmlformats.org/officeDocument/2006/relationships/hyperlink" Target="https://www.sec.gov/Archives/edgar/data/1650164/000165016422000027/tost-20220331xexhibit991.htm" TargetMode="External"/><Relationship Id="rId1231" Type="http://schemas.openxmlformats.org/officeDocument/2006/relationships/hyperlink" Target="https://www.sec.gov/Archives/edgar/data/1650164/000165016424000069/tost-20231231xexhibit991.htm" TargetMode="External"/><Relationship Id="rId906" Type="http://schemas.openxmlformats.org/officeDocument/2006/relationships/hyperlink" Target="https://www.sec.gov/Archives/edgar/data/1650164/000165016426000164/tost-20260630.htm" TargetMode="External"/><Relationship Id="rId1329" Type="http://schemas.openxmlformats.org/officeDocument/2006/relationships/hyperlink" Target="https://www.sec.gov/Archives/edgar/data/1650164/000165016422000027/tost-20220331xexhibit991.htm" TargetMode="External"/><Relationship Id="rId35" Type="http://schemas.openxmlformats.org/officeDocument/2006/relationships/hyperlink" Target="https://www.sec.gov/Archives/edgar/data/1650164/000165016423000369/tost-20230930.htm" TargetMode="External"/><Relationship Id="rId184" Type="http://schemas.openxmlformats.org/officeDocument/2006/relationships/hyperlink" Target="https://www.sec.gov/Archives/edgar/data/1650164/000165016423000305/tost-20230630.htm" TargetMode="External"/><Relationship Id="rId391" Type="http://schemas.openxmlformats.org/officeDocument/2006/relationships/hyperlink" Target="https://www.sec.gov/Archives/edgar/data/1650164/000165016425000341/tost-20250930.htm" TargetMode="External"/><Relationship Id="rId251" Type="http://schemas.openxmlformats.org/officeDocument/2006/relationships/hyperlink" Target="https://www.sec.gov/Archives/edgar/data/1650164/000165016423000069/tost-20221231.htm" TargetMode="External"/><Relationship Id="rId489" Type="http://schemas.openxmlformats.org/officeDocument/2006/relationships/hyperlink" Target="https://www.sec.gov/Archives/edgar/data/1650164/000165016426000057/tost-20251231.htm" TargetMode="External"/><Relationship Id="rId696" Type="http://schemas.openxmlformats.org/officeDocument/2006/relationships/hyperlink" Target="https://www.sec.gov/Archives/edgar/data/1650164/000165016423000305/tost-20230630.htm" TargetMode="External"/><Relationship Id="rId349" Type="http://schemas.openxmlformats.org/officeDocument/2006/relationships/hyperlink" Target="https://www.sec.gov/Archives/edgar/data/1650164/000165016426000057/tost-20251231.htm" TargetMode="External"/><Relationship Id="rId556" Type="http://schemas.openxmlformats.org/officeDocument/2006/relationships/hyperlink" Target="https://www.sec.gov/Archives/edgar/data/1650164/000165016426000057/tost-20251231.htm" TargetMode="External"/><Relationship Id="rId763" Type="http://schemas.openxmlformats.org/officeDocument/2006/relationships/hyperlink" Target="https://www.sec.gov/Archives/edgar/data/1650164/000165016425000177/tost-20250331.htm" TargetMode="External"/><Relationship Id="rId1186" Type="http://schemas.openxmlformats.org/officeDocument/2006/relationships/hyperlink" Target="https://www.sec.gov/Archives/edgar/data/1650164/000165016425000175/tost-20250331xexhibit991.htm" TargetMode="External"/><Relationship Id="rId1393" Type="http://schemas.openxmlformats.org/officeDocument/2006/relationships/hyperlink" Target="https://data.bls.gov/timeseries/CUUR0000SEFV" TargetMode="External"/><Relationship Id="rId111" Type="http://schemas.openxmlformats.org/officeDocument/2006/relationships/hyperlink" Target="https://www.sec.gov/Archives/edgar/data/1650164/000165016423000369/tost-20230930.htm" TargetMode="External"/><Relationship Id="rId209" Type="http://schemas.openxmlformats.org/officeDocument/2006/relationships/hyperlink" Target="https://www.sec.gov/Archives/edgar/data/1650164/000165016423000305/tost-20230630.htm" TargetMode="External"/><Relationship Id="rId416" Type="http://schemas.openxmlformats.org/officeDocument/2006/relationships/hyperlink" Target="https://www.sec.gov/Archives/edgar/data/1650164/000165016425000341/tost-20250930.htm" TargetMode="External"/><Relationship Id="rId970" Type="http://schemas.openxmlformats.org/officeDocument/2006/relationships/hyperlink" Target="https://www.sec.gov/Archives/edgar/data/1650164/000165016423000069/tost-20221231.htm" TargetMode="External"/><Relationship Id="rId1046" Type="http://schemas.openxmlformats.org/officeDocument/2006/relationships/hyperlink" Target="https://www.sec.gov/Archives/edgar/data/1650164/000165016421000017/exhibit991.htm" TargetMode="External"/><Relationship Id="rId1253" Type="http://schemas.openxmlformats.org/officeDocument/2006/relationships/hyperlink" Target="https://www.sec.gov/Archives/edgar/data/1650164/000165016425000066/tost-20241231xexhibit991.htm" TargetMode="External"/><Relationship Id="rId623" Type="http://schemas.openxmlformats.org/officeDocument/2006/relationships/hyperlink" Target="https://www.sec.gov/Archives/edgar/data/1650164/000165016426000114/tost-20260331.htm" TargetMode="External"/><Relationship Id="rId830" Type="http://schemas.openxmlformats.org/officeDocument/2006/relationships/hyperlink" Target="https://www.sec.gov/Archives/edgar/data/1650164/000165016423000069/tost-20221231.htm" TargetMode="External"/><Relationship Id="rId928" Type="http://schemas.openxmlformats.org/officeDocument/2006/relationships/hyperlink" Target="https://www.sec.gov/Archives/edgar/data/1650164/000165016426000164/tost-20260630.htm" TargetMode="External"/><Relationship Id="rId57" Type="http://schemas.openxmlformats.org/officeDocument/2006/relationships/hyperlink" Target="https://www.sec.gov/Archives/edgar/data/1650164/000165016422000142/tost-20220930.htm" TargetMode="External"/><Relationship Id="rId1113" Type="http://schemas.openxmlformats.org/officeDocument/2006/relationships/hyperlink" Target="https://www.sec.gov/Archives/edgar/data/1650164/000165016425000175/tost-20250331xexhibit991.htm" TargetMode="External"/><Relationship Id="rId1320" Type="http://schemas.openxmlformats.org/officeDocument/2006/relationships/hyperlink" Target="https://www.sec.gov/Archives/edgar/data/1650164/000165016425000175/tost-20250331xexhibit991.htm" TargetMode="External"/><Relationship Id="rId273" Type="http://schemas.openxmlformats.org/officeDocument/2006/relationships/hyperlink" Target="https://www.sec.gov/Archives/edgar/data/1650164/000165016425000341/tost-20250930.htm" TargetMode="External"/><Relationship Id="rId480" Type="http://schemas.openxmlformats.org/officeDocument/2006/relationships/hyperlink" Target="https://www.sec.gov/Archives/edgar/data/1650164/000165016425000341/tost-20250930.htm" TargetMode="External"/><Relationship Id="rId133" Type="http://schemas.openxmlformats.org/officeDocument/2006/relationships/hyperlink" Target="https://www.sec.gov/Archives/edgar/data/1650164/000165016423000168/tost-20230331.htm" TargetMode="External"/><Relationship Id="rId340" Type="http://schemas.openxmlformats.org/officeDocument/2006/relationships/hyperlink" Target="https://www.sec.gov/Archives/edgar/data/1650164/000165016425000341/tost-20250930.htm" TargetMode="External"/><Relationship Id="rId578" Type="http://schemas.openxmlformats.org/officeDocument/2006/relationships/hyperlink" Target="https://www.sec.gov/Archives/edgar/data/1650164/000165016423000305/tost-20230630.htm" TargetMode="External"/><Relationship Id="rId785" Type="http://schemas.openxmlformats.org/officeDocument/2006/relationships/hyperlink" Target="https://www.sec.gov/Archives/edgar/data/1650164/000165016425000341/tost-20250930.htm" TargetMode="External"/><Relationship Id="rId992" Type="http://schemas.openxmlformats.org/officeDocument/2006/relationships/hyperlink" Target="https://www.sec.gov/Archives/edgar/data/1650164/000165016422000004/earningsrelease.htm" TargetMode="External"/><Relationship Id="rId200" Type="http://schemas.openxmlformats.org/officeDocument/2006/relationships/hyperlink" Target="https://www.sec.gov/Archives/edgar/data/1650164/000165016426000164/tost-20260630.htm" TargetMode="External"/><Relationship Id="rId438" Type="http://schemas.openxmlformats.org/officeDocument/2006/relationships/hyperlink" Target="https://www.sec.gov/Archives/edgar/data/1650164/000165016426000114/tost-20260331.htm" TargetMode="External"/><Relationship Id="rId645" Type="http://schemas.openxmlformats.org/officeDocument/2006/relationships/hyperlink" Target="https://www.sec.gov/Archives/edgar/data/1650164/000165016425000341/tost-20250930.htm" TargetMode="External"/><Relationship Id="rId852" Type="http://schemas.openxmlformats.org/officeDocument/2006/relationships/hyperlink" Target="https://www.sec.gov/Archives/edgar/data/1650164/000165016422000092/tost-20220630.htm" TargetMode="External"/><Relationship Id="rId1068" Type="http://schemas.openxmlformats.org/officeDocument/2006/relationships/hyperlink" Target="https://www.sec.gov/Archives/edgar/data/1650164/000165016426000050/tost-20251231xexhibit991.htm" TargetMode="External"/><Relationship Id="rId1275" Type="http://schemas.openxmlformats.org/officeDocument/2006/relationships/hyperlink" Target="https://www.sec.gov/Archives/edgar/data/1650164/000165016425000334/tost-20250930xexhibit991.htm" TargetMode="External"/><Relationship Id="rId284" Type="http://schemas.openxmlformats.org/officeDocument/2006/relationships/hyperlink" Target="https://www.sec.gov/Archives/edgar/data/1650164/000165016425000177/tost-20250331.htm" TargetMode="External"/><Relationship Id="rId491" Type="http://schemas.openxmlformats.org/officeDocument/2006/relationships/hyperlink" Target="https://www.sec.gov/Archives/edgar/data/1650164/000165016426000057/tost-20251231.htm" TargetMode="External"/><Relationship Id="rId505" Type="http://schemas.openxmlformats.org/officeDocument/2006/relationships/hyperlink" Target="https://www.sec.gov/Archives/edgar/data/1650164/000165016426000114/tost-20260331.htm" TargetMode="External"/><Relationship Id="rId712" Type="http://schemas.openxmlformats.org/officeDocument/2006/relationships/hyperlink" Target="https://www.sec.gov/Archives/edgar/data/1650164/000165016423000305/tost-20230630.htm" TargetMode="External"/><Relationship Id="rId1135" Type="http://schemas.openxmlformats.org/officeDocument/2006/relationships/hyperlink" Target="https://www.sec.gov/Archives/edgar/data/1650164/000165016424000282/tost-20240630xexhibit991.htm" TargetMode="External"/><Relationship Id="rId1342" Type="http://schemas.openxmlformats.org/officeDocument/2006/relationships/hyperlink" Target="https://www.sec.gov/Archives/edgar/data/1650164/000165016424000069/tost-20231231xexhibit991.htm" TargetMode="External"/><Relationship Id="rId79" Type="http://schemas.openxmlformats.org/officeDocument/2006/relationships/hyperlink" Target="https://www.sec.gov/Archives/edgar/data/1650164/000165016426000057/tost-20251231.htm" TargetMode="External"/><Relationship Id="rId144" Type="http://schemas.openxmlformats.org/officeDocument/2006/relationships/hyperlink" Target="https://www.sec.gov/Archives/edgar/data/1650164/000165016425000341/tost-20250930.htm" TargetMode="External"/><Relationship Id="rId589" Type="http://schemas.openxmlformats.org/officeDocument/2006/relationships/hyperlink" Target="https://www.sec.gov/Archives/edgar/data/1650164/000165016426000114/tost-20260331.htm" TargetMode="External"/><Relationship Id="rId796" Type="http://schemas.openxmlformats.org/officeDocument/2006/relationships/hyperlink" Target="https://www.sec.gov/Archives/edgar/data/1650164/000165016423000305/tost-20230630.htm" TargetMode="External"/><Relationship Id="rId1202" Type="http://schemas.openxmlformats.org/officeDocument/2006/relationships/hyperlink" Target="https://www.sec.gov/Archives/edgar/data/1650164/000165016423000304/tost-20230630xexhibit991.htm" TargetMode="External"/><Relationship Id="rId351" Type="http://schemas.openxmlformats.org/officeDocument/2006/relationships/hyperlink" Target="https://www.sec.gov/Archives/edgar/data/1650164/000165016423000168/tost-20230331.htm" TargetMode="External"/><Relationship Id="rId449" Type="http://schemas.openxmlformats.org/officeDocument/2006/relationships/hyperlink" Target="https://www.sec.gov/Archives/edgar/data/1650164/000165016426000057/tost-20251231.htm" TargetMode="External"/><Relationship Id="rId656" Type="http://schemas.openxmlformats.org/officeDocument/2006/relationships/hyperlink" Target="https://www.sec.gov/Archives/edgar/data/1650164/000165016423000305/tost-20230630.htm" TargetMode="External"/><Relationship Id="rId863" Type="http://schemas.openxmlformats.org/officeDocument/2006/relationships/hyperlink" Target="https://www.sec.gov/Archives/edgar/data/1650164/000165016425000177/tost-20250331.htm" TargetMode="External"/><Relationship Id="rId1079" Type="http://schemas.openxmlformats.org/officeDocument/2006/relationships/hyperlink" Target="https://www.sec.gov/Archives/edgar/data/1650164/000165016422000089/tost-20220630xexhibit991.htm" TargetMode="External"/><Relationship Id="rId1286" Type="http://schemas.openxmlformats.org/officeDocument/2006/relationships/hyperlink" Target="https://www.sec.gov/Archives/edgar/data/1650164/000165016424000175/tost-20240331xexhibit991.htm" TargetMode="External"/><Relationship Id="rId211" Type="http://schemas.openxmlformats.org/officeDocument/2006/relationships/hyperlink" Target="https://www.sec.gov/Archives/edgar/data/1650164/000165016423000369/tost-20230930.htm" TargetMode="External"/><Relationship Id="rId295" Type="http://schemas.openxmlformats.org/officeDocument/2006/relationships/hyperlink" Target="https://www.sec.gov/Archives/edgar/data/1650164/000165016424000084/tost-20231231.htm" TargetMode="External"/><Relationship Id="rId309" Type="http://schemas.openxmlformats.org/officeDocument/2006/relationships/hyperlink" Target="https://www.sec.gov/Archives/edgar/data/1650164/000165016425000177/tost-20250331.htm" TargetMode="External"/><Relationship Id="rId516" Type="http://schemas.openxmlformats.org/officeDocument/2006/relationships/hyperlink" Target="https://www.sec.gov/Archives/edgar/data/1650164/000165016423000168/tost-20230331.htm" TargetMode="External"/><Relationship Id="rId1146" Type="http://schemas.openxmlformats.org/officeDocument/2006/relationships/hyperlink" Target="https://www.sec.gov/Archives/edgar/data/1650164/000165016426000050/tost-20251231xexhibit991.htm" TargetMode="External"/><Relationship Id="rId723" Type="http://schemas.openxmlformats.org/officeDocument/2006/relationships/hyperlink" Target="https://www.sec.gov/Archives/edgar/data/1650164/000165016426000114/tost-20260331.htm" TargetMode="External"/><Relationship Id="rId930" Type="http://schemas.openxmlformats.org/officeDocument/2006/relationships/hyperlink" Target="https://www.sec.gov/Archives/edgar/data/1650164/000165016423000069/tost-20221231.htm" TargetMode="External"/><Relationship Id="rId1006" Type="http://schemas.openxmlformats.org/officeDocument/2006/relationships/hyperlink" Target="https://www.sec.gov/Archives/edgar/data/1650164/000165016424000069/tost-20231231xexhibit991.htm" TargetMode="External"/><Relationship Id="rId1353" Type="http://schemas.openxmlformats.org/officeDocument/2006/relationships/hyperlink" Target="https://www.sec.gov/Archives/edgar/data/1650164/000165016426000050/tost-20251231xexhibit991.htm" TargetMode="External"/><Relationship Id="rId155" Type="http://schemas.openxmlformats.org/officeDocument/2006/relationships/hyperlink" Target="https://www.sec.gov/Archives/edgar/data/1650164/000165016426000057/tost-20251231.htm" TargetMode="External"/><Relationship Id="rId362" Type="http://schemas.openxmlformats.org/officeDocument/2006/relationships/hyperlink" Target="https://www.sec.gov/Archives/edgar/data/1650164/000165016425000341/tost-20250930.htm" TargetMode="External"/><Relationship Id="rId1213" Type="http://schemas.openxmlformats.org/officeDocument/2006/relationships/hyperlink" Target="https://www.sec.gov/Archives/edgar/data/1650164/000165016426000113/tost-20260331xexhibit991.htm" TargetMode="External"/><Relationship Id="rId1297" Type="http://schemas.openxmlformats.org/officeDocument/2006/relationships/hyperlink" Target="https://www.sec.gov/Archives/edgar/data/1650164/000165016426000162/tost-20260630xexhibit991.htm" TargetMode="External"/><Relationship Id="rId222" Type="http://schemas.openxmlformats.org/officeDocument/2006/relationships/hyperlink" Target="https://www.sec.gov/Archives/edgar/data/1650164/000165016425000341/tost-20250930.htm" TargetMode="External"/><Relationship Id="rId667" Type="http://schemas.openxmlformats.org/officeDocument/2006/relationships/hyperlink" Target="https://www.sec.gov/Archives/edgar/data/1650164/000165016426000114/tost-20260331.htm" TargetMode="External"/><Relationship Id="rId874" Type="http://schemas.openxmlformats.org/officeDocument/2006/relationships/hyperlink" Target="https://www.sec.gov/Archives/edgar/data/1650164/000165016424000084/tost-20231231.htm" TargetMode="External"/><Relationship Id="rId17" Type="http://schemas.openxmlformats.org/officeDocument/2006/relationships/hyperlink" Target="https://www.sec.gov/Archives/edgar/data/1650164/000165016425000290/tost-20250630.htm" TargetMode="External"/><Relationship Id="rId527" Type="http://schemas.openxmlformats.org/officeDocument/2006/relationships/hyperlink" Target="https://www.sec.gov/Archives/edgar/data/1650164/000165016425000341/tost-20250930.htm" TargetMode="External"/><Relationship Id="rId734" Type="http://schemas.openxmlformats.org/officeDocument/2006/relationships/hyperlink" Target="https://www.sec.gov/Archives/edgar/data/1650164/000165016424000084/tost-20231231.htm" TargetMode="External"/><Relationship Id="rId941" Type="http://schemas.openxmlformats.org/officeDocument/2006/relationships/hyperlink" Target="https://www.sec.gov/Archives/edgar/data/1650164/000165016424000383/tost-20240930.htm" TargetMode="External"/><Relationship Id="rId1157" Type="http://schemas.openxmlformats.org/officeDocument/2006/relationships/hyperlink" Target="https://www.sec.gov/Archives/edgar/data/1650164/000165016424000282/tost-20240630xexhibit991.htm" TargetMode="External"/><Relationship Id="rId1364" Type="http://schemas.openxmlformats.org/officeDocument/2006/relationships/hyperlink" Target="https://www.sec.gov/Archives/edgar/data/1650164/000165016425000066/tost-20241231xexhibit991.htm" TargetMode="External"/><Relationship Id="rId70" Type="http://schemas.openxmlformats.org/officeDocument/2006/relationships/hyperlink" Target="https://www.sec.gov/Archives/edgar/data/1650164/000165016426000114/tost-20260331.htm" TargetMode="External"/><Relationship Id="rId166" Type="http://schemas.openxmlformats.org/officeDocument/2006/relationships/hyperlink" Target="https://www.sec.gov/Archives/edgar/data/1650164/000165016425000177/tost-20250331.htm" TargetMode="External"/><Relationship Id="rId373" Type="http://schemas.openxmlformats.org/officeDocument/2006/relationships/hyperlink" Target="https://www.sec.gov/Archives/edgar/data/1650164/000165016426000057/tost-20251231.htm" TargetMode="External"/><Relationship Id="rId580" Type="http://schemas.openxmlformats.org/officeDocument/2006/relationships/hyperlink" Target="https://www.sec.gov/Archives/edgar/data/1650164/000165016424000177/tost-20240331.htm" TargetMode="External"/><Relationship Id="rId801" Type="http://schemas.openxmlformats.org/officeDocument/2006/relationships/hyperlink" Target="https://www.sec.gov/Archives/edgar/data/1650164/000165016424000383/tost-20240930.htm" TargetMode="External"/><Relationship Id="rId1017" Type="http://schemas.openxmlformats.org/officeDocument/2006/relationships/hyperlink" Target="https://www.sec.gov/Archives/edgar/data/1650164/000165016426000113/tost-20260331xexhibit991.htm" TargetMode="External"/><Relationship Id="rId1224" Type="http://schemas.openxmlformats.org/officeDocument/2006/relationships/hyperlink" Target="https://www.sec.gov/Archives/edgar/data/1650164/000165016422000141/tost-20220930xexhibit991.htm" TargetMode="External"/><Relationship Id="rId1" Type="http://schemas.openxmlformats.org/officeDocument/2006/relationships/hyperlink" Target="https://www.sec.gov/Archives/edgar/data/1650164/000165016423000069/tost-20221231.htm" TargetMode="External"/><Relationship Id="rId233" Type="http://schemas.openxmlformats.org/officeDocument/2006/relationships/hyperlink" Target="https://www.sec.gov/Archives/edgar/data/1650164/000165016423000168/tost-20230331.htm" TargetMode="External"/><Relationship Id="rId440" Type="http://schemas.openxmlformats.org/officeDocument/2006/relationships/hyperlink" Target="https://www.sec.gov/Archives/edgar/data/1650164/000165016425000341/tost-20250930.htm" TargetMode="External"/><Relationship Id="rId678" Type="http://schemas.openxmlformats.org/officeDocument/2006/relationships/hyperlink" Target="https://www.sec.gov/Archives/edgar/data/1650164/000165016425000072/tost-20241231.htm" TargetMode="External"/><Relationship Id="rId885" Type="http://schemas.openxmlformats.org/officeDocument/2006/relationships/hyperlink" Target="https://www.sec.gov/Archives/edgar/data/1650164/000165016425000341/tost-20250930.htm" TargetMode="External"/><Relationship Id="rId1070" Type="http://schemas.openxmlformats.org/officeDocument/2006/relationships/hyperlink" Target="https://www.sec.gov/Archives/edgar/data/1650164/000165016426000162/tost-20260630xexhibit991.htm" TargetMode="External"/><Relationship Id="rId28" Type="http://schemas.openxmlformats.org/officeDocument/2006/relationships/hyperlink" Target="https://www.sec.gov/Archives/edgar/data/1650164/000165016425000072/tost-20241231.htm" TargetMode="External"/><Relationship Id="rId300" Type="http://schemas.openxmlformats.org/officeDocument/2006/relationships/hyperlink" Target="https://www.sec.gov/Archives/edgar/data/1650164/000165016422000142/tost-20220930.htm" TargetMode="External"/><Relationship Id="rId538" Type="http://schemas.openxmlformats.org/officeDocument/2006/relationships/hyperlink" Target="https://www.sec.gov/Archives/edgar/data/1650164/000165016426000057/tost-20251231.htm" TargetMode="External"/><Relationship Id="rId745" Type="http://schemas.openxmlformats.org/officeDocument/2006/relationships/hyperlink" Target="https://www.sec.gov/Archives/edgar/data/1650164/000165016425000341/tost-20250930.htm" TargetMode="External"/><Relationship Id="rId952" Type="http://schemas.openxmlformats.org/officeDocument/2006/relationships/hyperlink" Target="https://www.sec.gov/Archives/edgar/data/1650164/000165016423000369/tost-20230930.htm" TargetMode="External"/><Relationship Id="rId1168" Type="http://schemas.openxmlformats.org/officeDocument/2006/relationships/hyperlink" Target="https://www.sec.gov/Archives/edgar/data/1650164/000165016426000050/tost-20251231xexhibit991.htm" TargetMode="External"/><Relationship Id="rId1375" Type="http://schemas.openxmlformats.org/officeDocument/2006/relationships/hyperlink" Target="https://data.bls.gov/timeseries/CUUR0000SEFV" TargetMode="External"/><Relationship Id="rId81" Type="http://schemas.openxmlformats.org/officeDocument/2006/relationships/hyperlink" Target="https://www.sec.gov/Archives/edgar/data/1650164/000165016426000057/tost-20251231.htm" TargetMode="External"/><Relationship Id="rId177" Type="http://schemas.openxmlformats.org/officeDocument/2006/relationships/hyperlink" Target="https://www.sec.gov/Archives/edgar/data/1650164/000165016424000084/tost-20231231.htm" TargetMode="External"/><Relationship Id="rId384" Type="http://schemas.openxmlformats.org/officeDocument/2006/relationships/hyperlink" Target="https://www.sec.gov/Archives/edgar/data/1650164/000165016425000177/tost-20250331.htm" TargetMode="External"/><Relationship Id="rId591" Type="http://schemas.openxmlformats.org/officeDocument/2006/relationships/hyperlink" Target="https://www.sec.gov/Archives/edgar/data/1650164/000165016423000069/tost-20221231.htm" TargetMode="External"/><Relationship Id="rId605" Type="http://schemas.openxmlformats.org/officeDocument/2006/relationships/hyperlink" Target="https://www.sec.gov/Archives/edgar/data/1650164/000165016425000341/tost-20250930.htm" TargetMode="External"/><Relationship Id="rId812" Type="http://schemas.openxmlformats.org/officeDocument/2006/relationships/hyperlink" Target="https://www.sec.gov/Archives/edgar/data/1650164/000165016423000305/tost-20230630.htm" TargetMode="External"/><Relationship Id="rId1028" Type="http://schemas.openxmlformats.org/officeDocument/2006/relationships/hyperlink" Target="https://www.sec.gov/Archives/edgar/data/1650164/000165016423000167/tost-20230331xexhibit991.htm" TargetMode="External"/><Relationship Id="rId1235" Type="http://schemas.openxmlformats.org/officeDocument/2006/relationships/hyperlink" Target="https://www.sec.gov/Archives/edgar/data/1650164/000165016425000066/tost-20241231xexhibit991.htm" TargetMode="External"/><Relationship Id="rId244" Type="http://schemas.openxmlformats.org/officeDocument/2006/relationships/hyperlink" Target="https://www.sec.gov/Archives/edgar/data/1650164/000165016425000341/tost-20250930.htm" TargetMode="External"/><Relationship Id="rId689" Type="http://schemas.openxmlformats.org/officeDocument/2006/relationships/hyperlink" Target="https://www.sec.gov/Archives/edgar/data/1650164/000165016422000009/tost-20211231.htm" TargetMode="External"/><Relationship Id="rId896" Type="http://schemas.openxmlformats.org/officeDocument/2006/relationships/hyperlink" Target="https://www.sec.gov/Archives/edgar/data/1650164/000165016423000305/tost-20230630.htm" TargetMode="External"/><Relationship Id="rId1081" Type="http://schemas.openxmlformats.org/officeDocument/2006/relationships/hyperlink" Target="https://www.sec.gov/Archives/edgar/data/1650164/000165016423000050/tost-20221231xexhibit991.htm" TargetMode="External"/><Relationship Id="rId1302" Type="http://schemas.openxmlformats.org/officeDocument/2006/relationships/hyperlink" Target="https://www.sec.gov/Archives/edgar/data/1650164/000165016421000017/exhibit991.htm" TargetMode="External"/><Relationship Id="rId39" Type="http://schemas.openxmlformats.org/officeDocument/2006/relationships/hyperlink" Target="https://www.sec.gov/Archives/edgar/data/1650164/000165016424000383/tost-20240930.htm" TargetMode="External"/><Relationship Id="rId451" Type="http://schemas.openxmlformats.org/officeDocument/2006/relationships/hyperlink" Target="https://www.sec.gov/Archives/edgar/data/1650164/000165016423000168/tost-20230331.htm" TargetMode="External"/><Relationship Id="rId549" Type="http://schemas.openxmlformats.org/officeDocument/2006/relationships/hyperlink" Target="https://www.sec.gov/Archives/edgar/data/1650164/000165016426000114/tost-20260331.htm" TargetMode="External"/><Relationship Id="rId756" Type="http://schemas.openxmlformats.org/officeDocument/2006/relationships/hyperlink" Target="https://www.sec.gov/Archives/edgar/data/1650164/000165016423000305/tost-20230630.htm" TargetMode="External"/><Relationship Id="rId1179" Type="http://schemas.openxmlformats.org/officeDocument/2006/relationships/hyperlink" Target="https://www.sec.gov/Archives/edgar/data/1650164/000165016424000282/tost-20240630xexhibit991.htm" TargetMode="External"/><Relationship Id="rId1386" Type="http://schemas.openxmlformats.org/officeDocument/2006/relationships/hyperlink" Target="https://data.bls.gov/timeseries/CUUR0000SEFV" TargetMode="External"/><Relationship Id="rId104" Type="http://schemas.openxmlformats.org/officeDocument/2006/relationships/hyperlink" Target="https://www.sec.gov/Archives/edgar/data/1650164/000165016426000057/tost-20251231.htm" TargetMode="External"/><Relationship Id="rId188" Type="http://schemas.openxmlformats.org/officeDocument/2006/relationships/hyperlink" Target="https://www.sec.gov/Archives/edgar/data/1650164/000165016424000283/tost-20240630.htm" TargetMode="External"/><Relationship Id="rId311" Type="http://schemas.openxmlformats.org/officeDocument/2006/relationships/hyperlink" Target="https://www.sec.gov/Archives/edgar/data/1650164/000165016425000341/tost-20250930.htm" TargetMode="External"/><Relationship Id="rId395" Type="http://schemas.openxmlformats.org/officeDocument/2006/relationships/hyperlink" Target="https://www.sec.gov/Archives/edgar/data/1650164/000165016424000084/tost-20231231.htm" TargetMode="External"/><Relationship Id="rId409" Type="http://schemas.openxmlformats.org/officeDocument/2006/relationships/hyperlink" Target="https://www.sec.gov/Archives/edgar/data/1650164/000165016425000177/tost-20250331.htm" TargetMode="External"/><Relationship Id="rId963" Type="http://schemas.openxmlformats.org/officeDocument/2006/relationships/hyperlink" Target="https://www.sec.gov/Archives/edgar/data/1650164/000165016426000164/tost-20260630.htm" TargetMode="External"/><Relationship Id="rId1039" Type="http://schemas.openxmlformats.org/officeDocument/2006/relationships/hyperlink" Target="https://www.sec.gov/Archives/edgar/data/1650164/000165016426000050/tost-20251231xexhibit991.htm" TargetMode="External"/><Relationship Id="rId1246" Type="http://schemas.openxmlformats.org/officeDocument/2006/relationships/hyperlink" Target="https://www.sec.gov/Archives/edgar/data/1650164/000165016424000282/tost-20240630xexhibit991.htm" TargetMode="External"/><Relationship Id="rId92" Type="http://schemas.openxmlformats.org/officeDocument/2006/relationships/hyperlink" Target="https://www.sec.gov/Archives/edgar/data/1650164/000165016425000290/tost-20250630.htm" TargetMode="External"/><Relationship Id="rId616" Type="http://schemas.openxmlformats.org/officeDocument/2006/relationships/hyperlink" Target="https://www.sec.gov/Archives/edgar/data/1650164/000165016424000283/tost-20240630.htm" TargetMode="External"/><Relationship Id="rId823" Type="http://schemas.openxmlformats.org/officeDocument/2006/relationships/hyperlink" Target="https://www.sec.gov/Archives/edgar/data/1650164/000165016426000114/tost-20260331.htm" TargetMode="External"/><Relationship Id="rId255" Type="http://schemas.openxmlformats.org/officeDocument/2006/relationships/hyperlink" Target="https://www.sec.gov/Archives/edgar/data/1650164/000165016426000057/tost-20251231.htm" TargetMode="External"/><Relationship Id="rId462" Type="http://schemas.openxmlformats.org/officeDocument/2006/relationships/hyperlink" Target="https://www.sec.gov/Archives/edgar/data/1650164/000165016425000341/tost-20250930.htm" TargetMode="External"/><Relationship Id="rId1092" Type="http://schemas.openxmlformats.org/officeDocument/2006/relationships/hyperlink" Target="https://www.sec.gov/Archives/edgar/data/1650164/000165016425000066/tost-20241231xexhibit991.htm" TargetMode="External"/><Relationship Id="rId1106" Type="http://schemas.openxmlformats.org/officeDocument/2006/relationships/hyperlink" Target="https://www.sec.gov/Archives/edgar/data/1650164/000165016424000282/tost-20240630xexhibit991.htm" TargetMode="External"/><Relationship Id="rId1313" Type="http://schemas.openxmlformats.org/officeDocument/2006/relationships/hyperlink" Target="https://www.sec.gov/Archives/edgar/data/1650164/000165016424000069/tost-20231231xexhibit991.htm" TargetMode="External"/><Relationship Id="rId1397" Type="http://schemas.openxmlformats.org/officeDocument/2006/relationships/hyperlink" Target="https://data.bls.gov/timeseries/CUUR0000SEFV" TargetMode="External"/><Relationship Id="rId115" Type="http://schemas.openxmlformats.org/officeDocument/2006/relationships/hyperlink" Target="https://www.sec.gov/Archives/edgar/data/1650164/000165016424000383/tost-20240930.htm" TargetMode="External"/><Relationship Id="rId322" Type="http://schemas.openxmlformats.org/officeDocument/2006/relationships/hyperlink" Target="https://www.sec.gov/Archives/edgar/data/1650164/000165016426000057/tost-20251231.htm" TargetMode="External"/><Relationship Id="rId767" Type="http://schemas.openxmlformats.org/officeDocument/2006/relationships/hyperlink" Target="https://www.sec.gov/Archives/edgar/data/1650164/000165016426000114/tost-20260331.htm" TargetMode="External"/><Relationship Id="rId974" Type="http://schemas.openxmlformats.org/officeDocument/2006/relationships/hyperlink" Target="https://www.sec.gov/Archives/edgar/data/1650164/000165016422000092/tost-20220630.htm" TargetMode="External"/><Relationship Id="rId199" Type="http://schemas.openxmlformats.org/officeDocument/2006/relationships/hyperlink" Target="https://www.sec.gov/Archives/edgar/data/1650164/000165016426000114/tost-20260331.htm" TargetMode="External"/><Relationship Id="rId627" Type="http://schemas.openxmlformats.org/officeDocument/2006/relationships/hyperlink" Target="https://www.sec.gov/Archives/edgar/data/1650164/000165016426000114/tost-20260331.htm" TargetMode="External"/><Relationship Id="rId834" Type="http://schemas.openxmlformats.org/officeDocument/2006/relationships/hyperlink" Target="https://www.sec.gov/Archives/edgar/data/1650164/000165016424000084/tost-20231231.htm" TargetMode="External"/><Relationship Id="rId1257" Type="http://schemas.openxmlformats.org/officeDocument/2006/relationships/hyperlink" Target="https://www.sec.gov/Archives/edgar/data/1650164/000165016425000334/tost-20250930xexhibit991.htm" TargetMode="External"/><Relationship Id="rId266" Type="http://schemas.openxmlformats.org/officeDocument/2006/relationships/hyperlink" Target="https://www.sec.gov/Archives/edgar/data/1650164/000165016425000177/tost-20250331.htm" TargetMode="External"/><Relationship Id="rId473" Type="http://schemas.openxmlformats.org/officeDocument/2006/relationships/hyperlink" Target="https://www.sec.gov/Archives/edgar/data/1650164/000165016423000305/tost-20230630.htm" TargetMode="External"/><Relationship Id="rId680" Type="http://schemas.openxmlformats.org/officeDocument/2006/relationships/hyperlink" Target="https://www.sec.gov/Archives/edgar/data/1650164/000165016424000283/tost-20240630.htm" TargetMode="External"/><Relationship Id="rId901" Type="http://schemas.openxmlformats.org/officeDocument/2006/relationships/hyperlink" Target="https://www.sec.gov/Archives/edgar/data/1650164/000165016424000383/tost-20240930.htm" TargetMode="External"/><Relationship Id="rId1117" Type="http://schemas.openxmlformats.org/officeDocument/2006/relationships/hyperlink" Target="https://www.sec.gov/Archives/edgar/data/1650164/000165016425000288/tost-20250630xexhibit991.htm" TargetMode="External"/><Relationship Id="rId1324" Type="http://schemas.openxmlformats.org/officeDocument/2006/relationships/hyperlink" Target="https://www.sec.gov/Archives/edgar/data/1650164/000165016426000050/tost-20251231xexhibit991.htm" TargetMode="External"/><Relationship Id="rId30" Type="http://schemas.openxmlformats.org/officeDocument/2006/relationships/hyperlink" Target="https://www.sec.gov/Archives/edgar/data/1650164/000165016426000057/tost-20251231.htm" TargetMode="External"/><Relationship Id="rId126" Type="http://schemas.openxmlformats.org/officeDocument/2006/relationships/hyperlink" Target="https://www.sec.gov/Archives/edgar/data/1650164/000165016423000069/tost-20221231.htm" TargetMode="External"/><Relationship Id="rId333" Type="http://schemas.openxmlformats.org/officeDocument/2006/relationships/hyperlink" Target="https://www.sec.gov/Archives/edgar/data/1650164/000165016424000383/tost-20240930.htm" TargetMode="External"/><Relationship Id="rId540" Type="http://schemas.openxmlformats.org/officeDocument/2006/relationships/hyperlink" Target="https://www.sec.gov/Archives/edgar/data/1650164/000165016423000168/tost-20230331.htm" TargetMode="External"/><Relationship Id="rId778" Type="http://schemas.openxmlformats.org/officeDocument/2006/relationships/hyperlink" Target="https://www.sec.gov/Archives/edgar/data/1650164/000165016425000072/tost-20241231.htm" TargetMode="External"/><Relationship Id="rId985" Type="http://schemas.openxmlformats.org/officeDocument/2006/relationships/hyperlink" Target="https://www.sec.gov/Archives/edgar/data/1650164/000165016425000177/tost-20250331.htm" TargetMode="External"/><Relationship Id="rId1170" Type="http://schemas.openxmlformats.org/officeDocument/2006/relationships/hyperlink" Target="https://www.sec.gov/Archives/edgar/data/1650164/000165016426000162/tost-20260630xexhibit991.htm" TargetMode="External"/><Relationship Id="rId638" Type="http://schemas.openxmlformats.org/officeDocument/2006/relationships/hyperlink" Target="https://www.sec.gov/Archives/edgar/data/1650164/000165016426000057/tost-20251231.htm" TargetMode="External"/><Relationship Id="rId845" Type="http://schemas.openxmlformats.org/officeDocument/2006/relationships/hyperlink" Target="https://www.sec.gov/Archives/edgar/data/1650164/000165016425000341/tost-20250930.htm" TargetMode="External"/><Relationship Id="rId1030" Type="http://schemas.openxmlformats.org/officeDocument/2006/relationships/hyperlink" Target="https://www.sec.gov/Archives/edgar/data/1650164/000165016423000368/tost-20230930xexhibit9911.htm" TargetMode="External"/><Relationship Id="rId1268" Type="http://schemas.openxmlformats.org/officeDocument/2006/relationships/hyperlink" Target="https://www.sec.gov/Archives/edgar/data/1650164/000165016424000175/tost-20240331xexhibit991.htm" TargetMode="External"/><Relationship Id="rId277" Type="http://schemas.openxmlformats.org/officeDocument/2006/relationships/hyperlink" Target="https://www.sec.gov/Archives/edgar/data/1650164/000165016426000057/tost-20251231.htm" TargetMode="External"/><Relationship Id="rId400" Type="http://schemas.openxmlformats.org/officeDocument/2006/relationships/hyperlink" Target="https://www.sec.gov/Archives/edgar/data/1650164/000165016422000142/tost-20220930.htm" TargetMode="External"/><Relationship Id="rId484" Type="http://schemas.openxmlformats.org/officeDocument/2006/relationships/hyperlink" Target="https://www.sec.gov/Archives/edgar/data/1650164/000165016426000114/tost-20260331.htm" TargetMode="External"/><Relationship Id="rId705" Type="http://schemas.openxmlformats.org/officeDocument/2006/relationships/hyperlink" Target="https://www.sec.gov/Archives/edgar/data/1650164/000165016425000341/tost-20250930.htm" TargetMode="External"/><Relationship Id="rId1128" Type="http://schemas.openxmlformats.org/officeDocument/2006/relationships/hyperlink" Target="https://www.sec.gov/Archives/edgar/data/1650164/000165016423000368/tost-20230930xexhibit9911.htm" TargetMode="External"/><Relationship Id="rId1335" Type="http://schemas.openxmlformats.org/officeDocument/2006/relationships/hyperlink" Target="https://www.sec.gov/Archives/edgar/data/1650164/000165016422000089/tost-20220630xexhibit991.htm" TargetMode="External"/><Relationship Id="rId137" Type="http://schemas.openxmlformats.org/officeDocument/2006/relationships/hyperlink" Target="https://www.sec.gov/Archives/edgar/data/1650164/000165016424000177/tost-20240331.htm" TargetMode="External"/><Relationship Id="rId344" Type="http://schemas.openxmlformats.org/officeDocument/2006/relationships/hyperlink" Target="https://www.sec.gov/Archives/edgar/data/1650164/000165016423000069/tost-20221231.htm" TargetMode="External"/><Relationship Id="rId691" Type="http://schemas.openxmlformats.org/officeDocument/2006/relationships/hyperlink" Target="https://www.sec.gov/Archives/edgar/data/1650164/000165016422000031/tost-20220331.htm" TargetMode="External"/><Relationship Id="rId789" Type="http://schemas.openxmlformats.org/officeDocument/2006/relationships/hyperlink" Target="https://www.sec.gov/Archives/edgar/data/1650164/000165016423000069/tost-20221231.htm" TargetMode="External"/><Relationship Id="rId912" Type="http://schemas.openxmlformats.org/officeDocument/2006/relationships/hyperlink" Target="https://www.sec.gov/Archives/edgar/data/1650164/000165016422000092/tost-20220630.htm" TargetMode="External"/><Relationship Id="rId996" Type="http://schemas.openxmlformats.org/officeDocument/2006/relationships/hyperlink" Target="https://www.sec.gov/Archives/edgar/data/1650164/000165016422000004/earningsrelease.htm" TargetMode="External"/><Relationship Id="rId41" Type="http://schemas.openxmlformats.org/officeDocument/2006/relationships/hyperlink" Target="https://www.sec.gov/Archives/edgar/data/1650164/000165016425000177/tost-20250331.htm" TargetMode="External"/><Relationship Id="rId551" Type="http://schemas.openxmlformats.org/officeDocument/2006/relationships/hyperlink" Target="https://www.sec.gov/Archives/edgar/data/1650164/000165016425000341/tost-20250930.htm" TargetMode="External"/><Relationship Id="rId649" Type="http://schemas.openxmlformats.org/officeDocument/2006/relationships/hyperlink" Target="https://www.sec.gov/Archives/edgar/data/1650164/000165016422000009/tost-20211231.htm" TargetMode="External"/><Relationship Id="rId856" Type="http://schemas.openxmlformats.org/officeDocument/2006/relationships/hyperlink" Target="https://www.sec.gov/Archives/edgar/data/1650164/000165016423000305/tost-20230630.htm" TargetMode="External"/><Relationship Id="rId1181" Type="http://schemas.openxmlformats.org/officeDocument/2006/relationships/hyperlink" Target="https://www.sec.gov/Archives/edgar/data/1650164/000165016424000381/tost-20240930xexhibit991.htm" TargetMode="External"/><Relationship Id="rId1279" Type="http://schemas.openxmlformats.org/officeDocument/2006/relationships/hyperlink" Target="https://www.sec.gov/Archives/edgar/data/1650164/000165016426000162/tost-20260630xexhibit991.htm" TargetMode="External"/><Relationship Id="rId1402" Type="http://schemas.openxmlformats.org/officeDocument/2006/relationships/hyperlink" Target="https://data.bls.gov/timeseries/CUUR0000SEFV" TargetMode="External"/><Relationship Id="rId190" Type="http://schemas.openxmlformats.org/officeDocument/2006/relationships/hyperlink" Target="https://www.sec.gov/Archives/edgar/data/1650164/000165016424000383/tost-20240930.htm" TargetMode="External"/><Relationship Id="rId204" Type="http://schemas.openxmlformats.org/officeDocument/2006/relationships/hyperlink" Target="https://www.sec.gov/Archives/edgar/data/1650164/000165016426000057/tost-20251231.htm" TargetMode="External"/><Relationship Id="rId288" Type="http://schemas.openxmlformats.org/officeDocument/2006/relationships/hyperlink" Target="https://www.sec.gov/Archives/edgar/data/1650164/000165016426000114/tost-20260331.htm" TargetMode="External"/><Relationship Id="rId411" Type="http://schemas.openxmlformats.org/officeDocument/2006/relationships/hyperlink" Target="https://www.sec.gov/Archives/edgar/data/1650164/000165016425000341/tost-20250930.htm" TargetMode="External"/><Relationship Id="rId509" Type="http://schemas.openxmlformats.org/officeDocument/2006/relationships/hyperlink" Target="https://www.sec.gov/Archives/edgar/data/1650164/000165016424000084/tost-20231231.htm" TargetMode="External"/><Relationship Id="rId1041" Type="http://schemas.openxmlformats.org/officeDocument/2006/relationships/hyperlink" Target="https://www.sec.gov/Archives/edgar/data/1650164/000165016426000162/tost-20260630xexhibit991.htm" TargetMode="External"/><Relationship Id="rId1139" Type="http://schemas.openxmlformats.org/officeDocument/2006/relationships/hyperlink" Target="https://www.sec.gov/Archives/edgar/data/1650164/000165016425000175/tost-20250331xexhibit991.htm" TargetMode="External"/><Relationship Id="rId1346" Type="http://schemas.openxmlformats.org/officeDocument/2006/relationships/hyperlink" Target="https://www.sec.gov/Archives/edgar/data/1650164/000165016424000381/tost-20240930xexhibit991.htm" TargetMode="External"/><Relationship Id="rId495" Type="http://schemas.openxmlformats.org/officeDocument/2006/relationships/hyperlink" Target="https://www.sec.gov/Archives/edgar/data/1650164/000165016423000369/tost-20230930.htm" TargetMode="External"/><Relationship Id="rId716" Type="http://schemas.openxmlformats.org/officeDocument/2006/relationships/hyperlink" Target="https://www.sec.gov/Archives/edgar/data/1650164/000165016424000283/tost-20240630.htm" TargetMode="External"/><Relationship Id="rId923" Type="http://schemas.openxmlformats.org/officeDocument/2006/relationships/hyperlink" Target="https://www.sec.gov/Archives/edgar/data/1650164/000165016425000177/tost-20250331.htm" TargetMode="External"/><Relationship Id="rId52" Type="http://schemas.openxmlformats.org/officeDocument/2006/relationships/hyperlink" Target="https://www.sec.gov/Archives/edgar/data/1650164/000165016424000084/tost-20231231.htm" TargetMode="External"/><Relationship Id="rId148" Type="http://schemas.openxmlformats.org/officeDocument/2006/relationships/hyperlink" Target="https://www.sec.gov/Archives/edgar/data/1650164/000165016425000341/tost-20250930.htm" TargetMode="External"/><Relationship Id="rId355" Type="http://schemas.openxmlformats.org/officeDocument/2006/relationships/hyperlink" Target="https://www.sec.gov/Archives/edgar/data/1650164/000165016424000177/tost-20240331.htm" TargetMode="External"/><Relationship Id="rId562" Type="http://schemas.openxmlformats.org/officeDocument/2006/relationships/hyperlink" Target="https://www.sec.gov/Archives/edgar/data/1650164/000165016425000177/tost-20250331.htm" TargetMode="External"/><Relationship Id="rId1192" Type="http://schemas.openxmlformats.org/officeDocument/2006/relationships/hyperlink" Target="https://www.sec.gov/Archives/edgar/data/1650164/000165016426000162/tost-20260630xexhibit991.htm" TargetMode="External"/><Relationship Id="rId1206" Type="http://schemas.openxmlformats.org/officeDocument/2006/relationships/hyperlink" Target="https://www.sec.gov/Archives/edgar/data/1650164/000165016424000282/tost-20240630xexhibit991.htm" TargetMode="External"/><Relationship Id="rId1413" Type="http://schemas.openxmlformats.org/officeDocument/2006/relationships/hyperlink" Target="https://s28.q4cdn.com/141746709/files/doc_financials/2025/q4/Q4-25-Prepared-Remarks.pdf" TargetMode="External"/><Relationship Id="rId215" Type="http://schemas.openxmlformats.org/officeDocument/2006/relationships/hyperlink" Target="https://www.sec.gov/Archives/edgar/data/1650164/000165016424000383/tost-20240930.htm" TargetMode="External"/><Relationship Id="rId422" Type="http://schemas.openxmlformats.org/officeDocument/2006/relationships/hyperlink" Target="https://www.sec.gov/Archives/edgar/data/1650164/000165016426000057/tost-20251231.htm" TargetMode="External"/><Relationship Id="rId867" Type="http://schemas.openxmlformats.org/officeDocument/2006/relationships/hyperlink" Target="https://www.sec.gov/Archives/edgar/data/1650164/000165016426000114/tost-20260331.htm" TargetMode="External"/><Relationship Id="rId1052" Type="http://schemas.openxmlformats.org/officeDocument/2006/relationships/hyperlink" Target="https://www.sec.gov/Archives/edgar/data/1650164/000165016423000050/tost-20221231xexhibit991.htm" TargetMode="External"/><Relationship Id="rId299" Type="http://schemas.openxmlformats.org/officeDocument/2006/relationships/hyperlink" Target="https://www.sec.gov/Archives/edgar/data/1650164/000165016426000057/tost-20251231.htm" TargetMode="External"/><Relationship Id="rId727" Type="http://schemas.openxmlformats.org/officeDocument/2006/relationships/hyperlink" Target="https://www.sec.gov/Archives/edgar/data/1650164/000165016426000114/tost-20260331.htm" TargetMode="External"/><Relationship Id="rId934" Type="http://schemas.openxmlformats.org/officeDocument/2006/relationships/hyperlink" Target="https://www.sec.gov/Archives/edgar/data/1650164/000165016424000084/tost-20231231.htm" TargetMode="External"/><Relationship Id="rId1357" Type="http://schemas.openxmlformats.org/officeDocument/2006/relationships/hyperlink" Target="https://www.sec.gov/Archives/edgar/data/1650164/000165016424000282/tost-20240630xexhibit991.htm" TargetMode="External"/><Relationship Id="rId63" Type="http://schemas.openxmlformats.org/officeDocument/2006/relationships/hyperlink" Target="https://www.sec.gov/Archives/edgar/data/1650164/000165016424000283/tost-20240630.htm" TargetMode="External"/><Relationship Id="rId159" Type="http://schemas.openxmlformats.org/officeDocument/2006/relationships/hyperlink" Target="https://www.sec.gov/Archives/edgar/data/1650164/000165016423000305/tost-20230630.htm" TargetMode="External"/><Relationship Id="rId366" Type="http://schemas.openxmlformats.org/officeDocument/2006/relationships/hyperlink" Target="https://www.sec.gov/Archives/edgar/data/1650164/000165016425000341/tost-20250930.htm" TargetMode="External"/><Relationship Id="rId573" Type="http://schemas.openxmlformats.org/officeDocument/2006/relationships/hyperlink" Target="https://www.sec.gov/Archives/edgar/data/1650164/000165016426000057/tost-20251231.htm" TargetMode="External"/><Relationship Id="rId780" Type="http://schemas.openxmlformats.org/officeDocument/2006/relationships/hyperlink" Target="https://www.sec.gov/Archives/edgar/data/1650164/000165016424000283/tost-20240630.htm" TargetMode="External"/><Relationship Id="rId1217" Type="http://schemas.openxmlformats.org/officeDocument/2006/relationships/hyperlink" Target="https://www.sec.gov/Archives/edgar/data/1650164/000165016422000027/tost-20220331xexhibit991.htm" TargetMode="External"/><Relationship Id="rId226" Type="http://schemas.openxmlformats.org/officeDocument/2006/relationships/hyperlink" Target="https://www.sec.gov/Archives/edgar/data/1650164/000165016423000069/tost-20221231.htm" TargetMode="External"/><Relationship Id="rId433" Type="http://schemas.openxmlformats.org/officeDocument/2006/relationships/hyperlink" Target="https://www.sec.gov/Archives/edgar/data/1650164/000165016424000383/tost-20240930.htm" TargetMode="External"/><Relationship Id="rId878" Type="http://schemas.openxmlformats.org/officeDocument/2006/relationships/hyperlink" Target="https://www.sec.gov/Archives/edgar/data/1650164/000165016425000072/tost-20241231.htm" TargetMode="External"/><Relationship Id="rId1063" Type="http://schemas.openxmlformats.org/officeDocument/2006/relationships/hyperlink" Target="https://www.sec.gov/Archives/edgar/data/1650164/000165016425000066/tost-20241231xexhibit991.htm" TargetMode="External"/><Relationship Id="rId1270" Type="http://schemas.openxmlformats.org/officeDocument/2006/relationships/hyperlink" Target="https://www.sec.gov/Archives/edgar/data/1650164/000165016424000381/tost-20240930xexhibit991.htm" TargetMode="External"/><Relationship Id="rId640" Type="http://schemas.openxmlformats.org/officeDocument/2006/relationships/hyperlink" Target="https://www.sec.gov/Archives/edgar/data/1650164/000165016425000290/tost-20250630.htm" TargetMode="External"/><Relationship Id="rId738" Type="http://schemas.openxmlformats.org/officeDocument/2006/relationships/hyperlink" Target="https://www.sec.gov/Archives/edgar/data/1650164/000165016425000072/tost-20241231.htm" TargetMode="External"/><Relationship Id="rId945" Type="http://schemas.openxmlformats.org/officeDocument/2006/relationships/hyperlink" Target="https://www.sec.gov/Archives/edgar/data/1650164/000165016425000341/tost-20250930.htm" TargetMode="External"/><Relationship Id="rId1368" Type="http://schemas.openxmlformats.org/officeDocument/2006/relationships/hyperlink" Target="https://www.sec.gov/Archives/edgar/data/1650164/000165016426000050/tost-20251231xexhibit991.htm" TargetMode="External"/><Relationship Id="rId74" Type="http://schemas.openxmlformats.org/officeDocument/2006/relationships/hyperlink" Target="https://www.sec.gov/Archives/edgar/data/1650164/000165016426000114/tost-20260331.htm" TargetMode="External"/><Relationship Id="rId377" Type="http://schemas.openxmlformats.org/officeDocument/2006/relationships/hyperlink" Target="https://www.sec.gov/Archives/edgar/data/1650164/000165016423000305/tost-20230630.htm" TargetMode="External"/><Relationship Id="rId500" Type="http://schemas.openxmlformats.org/officeDocument/2006/relationships/hyperlink" Target="https://www.sec.gov/Archives/edgar/data/1650164/000165016425000290/tost-20250630.htm" TargetMode="External"/><Relationship Id="rId584" Type="http://schemas.openxmlformats.org/officeDocument/2006/relationships/hyperlink" Target="https://www.sec.gov/Archives/edgar/data/1650164/000165016425000290/tost-20250630.htm" TargetMode="External"/><Relationship Id="rId805" Type="http://schemas.openxmlformats.org/officeDocument/2006/relationships/hyperlink" Target="https://www.sec.gov/Archives/edgar/data/1650164/000165016425000341/tost-20250930.htm" TargetMode="External"/><Relationship Id="rId1130" Type="http://schemas.openxmlformats.org/officeDocument/2006/relationships/hyperlink" Target="https://www.sec.gov/Archives/edgar/data/1650164/000165016424000069/tost-20231231xexhibit991.htm" TargetMode="External"/><Relationship Id="rId1228" Type="http://schemas.openxmlformats.org/officeDocument/2006/relationships/hyperlink" Target="https://www.sec.gov/Archives/edgar/data/1650164/000165016423000304/tost-20230630xexhibit991.htm" TargetMode="External"/><Relationship Id="rId5" Type="http://schemas.openxmlformats.org/officeDocument/2006/relationships/hyperlink" Target="https://www.sec.gov/Archives/edgar/data/1650164/000165016426000057/tost-20251231.htm" TargetMode="External"/><Relationship Id="rId237" Type="http://schemas.openxmlformats.org/officeDocument/2006/relationships/hyperlink" Target="https://www.sec.gov/Archives/edgar/data/1650164/000165016424000177/tost-20240331.htm" TargetMode="External"/><Relationship Id="rId791" Type="http://schemas.openxmlformats.org/officeDocument/2006/relationships/hyperlink" Target="https://www.sec.gov/Archives/edgar/data/1650164/000165016422000031/tost-20220331.htm" TargetMode="External"/><Relationship Id="rId889" Type="http://schemas.openxmlformats.org/officeDocument/2006/relationships/hyperlink" Target="https://www.sec.gov/Archives/edgar/data/1650164/000165016422000009/tost-20211231.htm" TargetMode="External"/><Relationship Id="rId1074" Type="http://schemas.openxmlformats.org/officeDocument/2006/relationships/hyperlink" Target="https://www.sec.gov/Archives/edgar/data/1650164/000165016422000089/tost-20220630xexhibit991.htm" TargetMode="External"/><Relationship Id="rId444" Type="http://schemas.openxmlformats.org/officeDocument/2006/relationships/hyperlink" Target="https://www.sec.gov/Archives/edgar/data/1650164/000165016423000069/tost-20221231.htm" TargetMode="External"/><Relationship Id="rId651" Type="http://schemas.openxmlformats.org/officeDocument/2006/relationships/hyperlink" Target="https://www.sec.gov/Archives/edgar/data/1650164/000165016422000031/tost-20220331.htm" TargetMode="External"/><Relationship Id="rId749" Type="http://schemas.openxmlformats.org/officeDocument/2006/relationships/hyperlink" Target="https://www.sec.gov/Archives/edgar/data/1650164/000165016422000009/tost-20211231.htm" TargetMode="External"/><Relationship Id="rId1281" Type="http://schemas.openxmlformats.org/officeDocument/2006/relationships/hyperlink" Target="https://www.sec.gov/Archives/edgar/data/1650164/000165016424000175/tost-20240331xexhibit991.htm" TargetMode="External"/><Relationship Id="rId1379" Type="http://schemas.openxmlformats.org/officeDocument/2006/relationships/hyperlink" Target="https://data.bls.gov/timeseries/CUUR0000SEFV" TargetMode="External"/><Relationship Id="rId290" Type="http://schemas.openxmlformats.org/officeDocument/2006/relationships/hyperlink" Target="https://www.sec.gov/Archives/edgar/data/1650164/000165016425000341/tost-20250930.htm" TargetMode="External"/><Relationship Id="rId304" Type="http://schemas.openxmlformats.org/officeDocument/2006/relationships/hyperlink" Target="https://www.sec.gov/Archives/edgar/data/1650164/000165016423000369/tost-20230930.htm" TargetMode="External"/><Relationship Id="rId388" Type="http://schemas.openxmlformats.org/officeDocument/2006/relationships/hyperlink" Target="https://www.sec.gov/Archives/edgar/data/1650164/000165016426000114/tost-20260331.htm" TargetMode="External"/><Relationship Id="rId511" Type="http://schemas.openxmlformats.org/officeDocument/2006/relationships/hyperlink" Target="https://www.sec.gov/Archives/edgar/data/1650164/000165016426000057/tost-20251231.htm" TargetMode="External"/><Relationship Id="rId609" Type="http://schemas.openxmlformats.org/officeDocument/2006/relationships/hyperlink" Target="https://www.sec.gov/Archives/edgar/data/1650164/000165016424000084/tost-20231231.htm" TargetMode="External"/><Relationship Id="rId956" Type="http://schemas.openxmlformats.org/officeDocument/2006/relationships/hyperlink" Target="https://www.sec.gov/Archives/edgar/data/1650164/000165016424000383/tost-20240930.htm" TargetMode="External"/><Relationship Id="rId1141" Type="http://schemas.openxmlformats.org/officeDocument/2006/relationships/hyperlink" Target="https://www.sec.gov/Archives/edgar/data/1650164/000165016425000066/tost-20241231xexhibit991.htm" TargetMode="External"/><Relationship Id="rId1239" Type="http://schemas.openxmlformats.org/officeDocument/2006/relationships/hyperlink" Target="https://www.sec.gov/Archives/edgar/data/1650164/000165016425000334/tost-20250930xexhibit991.htm" TargetMode="External"/><Relationship Id="rId85" Type="http://schemas.openxmlformats.org/officeDocument/2006/relationships/hyperlink" Target="https://www.sec.gov/Archives/edgar/data/1650164/000165016423000369/tost-20230930.htm" TargetMode="External"/><Relationship Id="rId150" Type="http://schemas.openxmlformats.org/officeDocument/2006/relationships/hyperlink" Target="https://www.sec.gov/Archives/edgar/data/1650164/000165016426000164/tost-20260630.htm" TargetMode="External"/><Relationship Id="rId595" Type="http://schemas.openxmlformats.org/officeDocument/2006/relationships/hyperlink" Target="https://www.sec.gov/Archives/edgar/data/1650164/000165016426000057/tost-20251231.htm" TargetMode="External"/><Relationship Id="rId816" Type="http://schemas.openxmlformats.org/officeDocument/2006/relationships/hyperlink" Target="https://www.sec.gov/Archives/edgar/data/1650164/000165016424000283/tost-20240630.htm" TargetMode="External"/><Relationship Id="rId1001" Type="http://schemas.openxmlformats.org/officeDocument/2006/relationships/hyperlink" Target="https://www.sec.gov/Archives/edgar/data/1650164/000165016423000050/tost-20221231xexhibit991.htm" TargetMode="External"/><Relationship Id="rId248" Type="http://schemas.openxmlformats.org/officeDocument/2006/relationships/hyperlink" Target="https://www.sec.gov/Archives/edgar/data/1650164/000165016425000341/tost-20250930.htm" TargetMode="External"/><Relationship Id="rId455" Type="http://schemas.openxmlformats.org/officeDocument/2006/relationships/hyperlink" Target="https://www.sec.gov/Archives/edgar/data/1650164/000165016424000283/tost-20240630.htm" TargetMode="External"/><Relationship Id="rId662" Type="http://schemas.openxmlformats.org/officeDocument/2006/relationships/hyperlink" Target="https://www.sec.gov/Archives/edgar/data/1650164/000165016426000057/tost-20251231.htm" TargetMode="External"/><Relationship Id="rId1085" Type="http://schemas.openxmlformats.org/officeDocument/2006/relationships/hyperlink" Target="https://www.sec.gov/Archives/edgar/data/1650164/000165016423000368/tost-20230930xexhibit9911.htm" TargetMode="External"/><Relationship Id="rId1292" Type="http://schemas.openxmlformats.org/officeDocument/2006/relationships/hyperlink" Target="https://www.sec.gov/Archives/edgar/data/1650164/000165016425000288/tost-20250630xexhibit991.htm" TargetMode="External"/><Relationship Id="rId1306" Type="http://schemas.openxmlformats.org/officeDocument/2006/relationships/hyperlink" Target="https://www.sec.gov/Archives/edgar/data/1650164/000165016422000089/tost-20220630xexhibit991.htm" TargetMode="External"/><Relationship Id="rId12" Type="http://schemas.openxmlformats.org/officeDocument/2006/relationships/hyperlink" Target="https://www.sec.gov/Archives/edgar/data/1650164/000165016424000177/tost-20240331.htm" TargetMode="External"/><Relationship Id="rId108" Type="http://schemas.openxmlformats.org/officeDocument/2006/relationships/hyperlink" Target="https://www.sec.gov/Archives/edgar/data/1650164/000165016423000168/tost-20230331.htm" TargetMode="External"/><Relationship Id="rId315" Type="http://schemas.openxmlformats.org/officeDocument/2006/relationships/hyperlink" Target="https://www.sec.gov/Archives/edgar/data/1650164/000165016425000341/tost-20250930.htm" TargetMode="External"/><Relationship Id="rId522" Type="http://schemas.openxmlformats.org/officeDocument/2006/relationships/hyperlink" Target="https://www.sec.gov/Archives/edgar/data/1650164/000165016424000177/tost-20240331.htm" TargetMode="External"/><Relationship Id="rId967" Type="http://schemas.openxmlformats.org/officeDocument/2006/relationships/hyperlink" Target="https://www.sec.gov/Archives/edgar/data/1650164/000165016426000164/tost-20260630.htm" TargetMode="External"/><Relationship Id="rId1152" Type="http://schemas.openxmlformats.org/officeDocument/2006/relationships/hyperlink" Target="https://www.sec.gov/Archives/edgar/data/1650164/000165016424000069/tost-20231231xexhibit991.htm" TargetMode="External"/><Relationship Id="rId96" Type="http://schemas.openxmlformats.org/officeDocument/2006/relationships/hyperlink" Target="https://www.sec.gov/Archives/edgar/data/1650164/000165016426000164/tost-20260630.htm" TargetMode="External"/><Relationship Id="rId161" Type="http://schemas.openxmlformats.org/officeDocument/2006/relationships/hyperlink" Target="https://www.sec.gov/Archives/edgar/data/1650164/000165016423000369/tost-20230930.htm" TargetMode="External"/><Relationship Id="rId399" Type="http://schemas.openxmlformats.org/officeDocument/2006/relationships/hyperlink" Target="https://www.sec.gov/Archives/edgar/data/1650164/000165016426000057/tost-20251231.htm" TargetMode="External"/><Relationship Id="rId827" Type="http://schemas.openxmlformats.org/officeDocument/2006/relationships/hyperlink" Target="https://www.sec.gov/Archives/edgar/data/1650164/000165016426000114/tost-20260331.htm" TargetMode="External"/><Relationship Id="rId1012" Type="http://schemas.openxmlformats.org/officeDocument/2006/relationships/hyperlink" Target="https://www.sec.gov/Archives/edgar/data/1650164/000165016425000175/tost-20250331xexhibit991.htm" TargetMode="External"/><Relationship Id="rId259" Type="http://schemas.openxmlformats.org/officeDocument/2006/relationships/hyperlink" Target="https://www.sec.gov/Archives/edgar/data/1650164/000165016423000305/tost-20230630.htm" TargetMode="External"/><Relationship Id="rId466" Type="http://schemas.openxmlformats.org/officeDocument/2006/relationships/hyperlink" Target="https://www.sec.gov/Archives/edgar/data/1650164/000165016424000084/tost-20231231.htm" TargetMode="External"/><Relationship Id="rId673" Type="http://schemas.openxmlformats.org/officeDocument/2006/relationships/hyperlink" Target="https://www.sec.gov/Archives/edgar/data/1650164/000165016422000142/tost-20220930.htm" TargetMode="External"/><Relationship Id="rId880" Type="http://schemas.openxmlformats.org/officeDocument/2006/relationships/hyperlink" Target="https://www.sec.gov/Archives/edgar/data/1650164/000165016424000283/tost-20240630.htm" TargetMode="External"/><Relationship Id="rId1096" Type="http://schemas.openxmlformats.org/officeDocument/2006/relationships/hyperlink" Target="https://www.sec.gov/Archives/edgar/data/1650164/000165016426000050/tost-20251231xexhibit991.htm" TargetMode="External"/><Relationship Id="rId1317" Type="http://schemas.openxmlformats.org/officeDocument/2006/relationships/hyperlink" Target="https://www.sec.gov/Archives/edgar/data/1650164/000165016424000381/tost-20240930xexhibit991.htm" TargetMode="External"/><Relationship Id="rId23" Type="http://schemas.openxmlformats.org/officeDocument/2006/relationships/hyperlink" Target="https://www.sec.gov/Archives/edgar/data/1650164/000165016425000341/tost-20250930.htm" TargetMode="External"/><Relationship Id="rId119" Type="http://schemas.openxmlformats.org/officeDocument/2006/relationships/hyperlink" Target="https://www.sec.gov/Archives/edgar/data/1650164/000165016425000341/tost-20250930.htm" TargetMode="External"/><Relationship Id="rId326" Type="http://schemas.openxmlformats.org/officeDocument/2006/relationships/hyperlink" Target="https://www.sec.gov/Archives/edgar/data/1650164/000165016423000168/tost-20230331.htm" TargetMode="External"/><Relationship Id="rId533" Type="http://schemas.openxmlformats.org/officeDocument/2006/relationships/hyperlink" Target="https://www.sec.gov/Archives/edgar/data/1650164/000165016423000069/tost-20221231.htm" TargetMode="External"/><Relationship Id="rId978" Type="http://schemas.openxmlformats.org/officeDocument/2006/relationships/hyperlink" Target="https://www.sec.gov/Archives/edgar/data/1650164/000165016423000305/tost-20230630.htm" TargetMode="External"/><Relationship Id="rId1163" Type="http://schemas.openxmlformats.org/officeDocument/2006/relationships/hyperlink" Target="https://www.sec.gov/Archives/edgar/data/1650164/000165016425000066/tost-20241231xexhibit991.htm" TargetMode="External"/><Relationship Id="rId1370" Type="http://schemas.openxmlformats.org/officeDocument/2006/relationships/hyperlink" Target="https://www.sec.gov/Archives/edgar/data/1650164/000165016426000113/tost-20260331xexhibit991.htm" TargetMode="External"/><Relationship Id="rId740" Type="http://schemas.openxmlformats.org/officeDocument/2006/relationships/hyperlink" Target="https://www.sec.gov/Archives/edgar/data/1650164/000165016424000283/tost-20240630.htm" TargetMode="External"/><Relationship Id="rId838" Type="http://schemas.openxmlformats.org/officeDocument/2006/relationships/hyperlink" Target="https://www.sec.gov/Archives/edgar/data/1650164/000165016425000072/tost-20241231.htm" TargetMode="External"/><Relationship Id="rId1023" Type="http://schemas.openxmlformats.org/officeDocument/2006/relationships/hyperlink" Target="https://www.sec.gov/Archives/edgar/data/1650164/000165016422000004/earningsrelease.htm" TargetMode="External"/><Relationship Id="rId172" Type="http://schemas.openxmlformats.org/officeDocument/2006/relationships/hyperlink" Target="https://www.sec.gov/Archives/edgar/data/1650164/000165016425000341/tost-20250930.htm" TargetMode="External"/><Relationship Id="rId477" Type="http://schemas.openxmlformats.org/officeDocument/2006/relationships/hyperlink" Target="https://www.sec.gov/Archives/edgar/data/1650164/000165016424000383/tost-20240930.htm" TargetMode="External"/><Relationship Id="rId600" Type="http://schemas.openxmlformats.org/officeDocument/2006/relationships/hyperlink" Target="https://www.sec.gov/Archives/edgar/data/1650164/000165016424000177/tost-20240331.htm" TargetMode="External"/><Relationship Id="rId684" Type="http://schemas.openxmlformats.org/officeDocument/2006/relationships/hyperlink" Target="https://www.sec.gov/Archives/edgar/data/1650164/000165016425000290/tost-20250630.htm" TargetMode="External"/><Relationship Id="rId1230" Type="http://schemas.openxmlformats.org/officeDocument/2006/relationships/hyperlink" Target="https://www.sec.gov/Archives/edgar/data/1650164/000165016424000069/tost-20231231xexhibit991.htm" TargetMode="External"/><Relationship Id="rId1328" Type="http://schemas.openxmlformats.org/officeDocument/2006/relationships/hyperlink" Target="https://www.sec.gov/Archives/edgar/data/1650164/000165016422000004/earningsrelease.htm" TargetMode="External"/><Relationship Id="rId337" Type="http://schemas.openxmlformats.org/officeDocument/2006/relationships/hyperlink" Target="https://www.sec.gov/Archives/edgar/data/1650164/000165016425000341/tost-20250930.htm" TargetMode="External"/><Relationship Id="rId891" Type="http://schemas.openxmlformats.org/officeDocument/2006/relationships/hyperlink" Target="https://www.sec.gov/Archives/edgar/data/1650164/000165016422000031/tost-20220331.htm" TargetMode="External"/><Relationship Id="rId905" Type="http://schemas.openxmlformats.org/officeDocument/2006/relationships/hyperlink" Target="https://www.sec.gov/Archives/edgar/data/1650164/000165016425000341/tost-20250930.htm" TargetMode="External"/><Relationship Id="rId989" Type="http://schemas.openxmlformats.org/officeDocument/2006/relationships/hyperlink" Target="https://www.sec.gov/Archives/edgar/data/1650164/000165016426000114/tost-20260331.htm" TargetMode="External"/><Relationship Id="rId34" Type="http://schemas.openxmlformats.org/officeDocument/2006/relationships/hyperlink" Target="https://www.sec.gov/Archives/edgar/data/1650164/000165016423000305/tost-20230630.htm" TargetMode="External"/><Relationship Id="rId544" Type="http://schemas.openxmlformats.org/officeDocument/2006/relationships/hyperlink" Target="https://www.sec.gov/Archives/edgar/data/1650164/000165016424000283/tost-20240630.htm" TargetMode="External"/><Relationship Id="rId751" Type="http://schemas.openxmlformats.org/officeDocument/2006/relationships/hyperlink" Target="https://www.sec.gov/Archives/edgar/data/1650164/000165016422000031/tost-20220331.htm" TargetMode="External"/><Relationship Id="rId849" Type="http://schemas.openxmlformats.org/officeDocument/2006/relationships/hyperlink" Target="https://www.sec.gov/Archives/edgar/data/1650164/000165016422000009/tost-20211231.htm" TargetMode="External"/><Relationship Id="rId1174" Type="http://schemas.openxmlformats.org/officeDocument/2006/relationships/hyperlink" Target="https://www.sec.gov/Archives/edgar/data/1650164/000165016424000069/tost-20231231xexhibit991.htm" TargetMode="External"/><Relationship Id="rId1381" Type="http://schemas.openxmlformats.org/officeDocument/2006/relationships/hyperlink" Target="https://data.bls.gov/timeseries/CUUR0000SEFV" TargetMode="External"/><Relationship Id="rId183" Type="http://schemas.openxmlformats.org/officeDocument/2006/relationships/hyperlink" Target="https://www.sec.gov/Archives/edgar/data/1650164/000165016423000168/tost-20230331.htm" TargetMode="External"/><Relationship Id="rId390" Type="http://schemas.openxmlformats.org/officeDocument/2006/relationships/hyperlink" Target="https://www.sec.gov/Archives/edgar/data/1650164/000165016425000341/tost-20250930.htm" TargetMode="External"/><Relationship Id="rId404" Type="http://schemas.openxmlformats.org/officeDocument/2006/relationships/hyperlink" Target="https://www.sec.gov/Archives/edgar/data/1650164/000165016423000369/tost-20230930.htm" TargetMode="External"/><Relationship Id="rId611" Type="http://schemas.openxmlformats.org/officeDocument/2006/relationships/hyperlink" Target="https://www.sec.gov/Archives/edgar/data/1650164/000165016423000168/tost-20230331.htm" TargetMode="External"/><Relationship Id="rId1034" Type="http://schemas.openxmlformats.org/officeDocument/2006/relationships/hyperlink" Target="https://www.sec.gov/Archives/edgar/data/1650164/000165016424000381/tost-20240930xexhibit991.htm" TargetMode="External"/><Relationship Id="rId1241" Type="http://schemas.openxmlformats.org/officeDocument/2006/relationships/hyperlink" Target="https://www.sec.gov/Archives/edgar/data/1650164/000165016426000050/tost-20251231xexhibit991.htm" TargetMode="External"/><Relationship Id="rId1339" Type="http://schemas.openxmlformats.org/officeDocument/2006/relationships/hyperlink" Target="https://www.sec.gov/Archives/edgar/data/1650164/000165016423000167/tost-20230331xexhibit991.htm" TargetMode="External"/><Relationship Id="rId250" Type="http://schemas.openxmlformats.org/officeDocument/2006/relationships/hyperlink" Target="https://www.sec.gov/Archives/edgar/data/1650164/000165016426000164/tost-20260630.htm" TargetMode="External"/><Relationship Id="rId488" Type="http://schemas.openxmlformats.org/officeDocument/2006/relationships/hyperlink" Target="https://www.sec.gov/Archives/edgar/data/1650164/000165016425000072/tost-20241231.htm" TargetMode="External"/><Relationship Id="rId695" Type="http://schemas.openxmlformats.org/officeDocument/2006/relationships/hyperlink" Target="https://www.sec.gov/Archives/edgar/data/1650164/000165016423000168/tost-20230331.htm" TargetMode="External"/><Relationship Id="rId709" Type="http://schemas.openxmlformats.org/officeDocument/2006/relationships/hyperlink" Target="https://www.sec.gov/Archives/edgar/data/1650164/000165016423000069/tost-20221231.htm" TargetMode="External"/><Relationship Id="rId916" Type="http://schemas.openxmlformats.org/officeDocument/2006/relationships/hyperlink" Target="https://www.sec.gov/Archives/edgar/data/1650164/000165016423000305/tost-20230630.htm" TargetMode="External"/><Relationship Id="rId1101" Type="http://schemas.openxmlformats.org/officeDocument/2006/relationships/hyperlink" Target="https://www.sec.gov/Archives/edgar/data/1650164/000165016423000304/tost-20230630xexhibit991.htm" TargetMode="External"/><Relationship Id="rId45" Type="http://schemas.openxmlformats.org/officeDocument/2006/relationships/hyperlink" Target="https://www.sec.gov/Archives/edgar/data/1650164/000165016426000114/tost-20260331.htm" TargetMode="External"/><Relationship Id="rId110" Type="http://schemas.openxmlformats.org/officeDocument/2006/relationships/hyperlink" Target="https://www.sec.gov/Archives/edgar/data/1650164/000165016423000369/tost-20230930.htm" TargetMode="External"/><Relationship Id="rId348" Type="http://schemas.openxmlformats.org/officeDocument/2006/relationships/hyperlink" Target="https://www.sec.gov/Archives/edgar/data/1650164/000165016426000057/tost-20251231.htm" TargetMode="External"/><Relationship Id="rId555" Type="http://schemas.openxmlformats.org/officeDocument/2006/relationships/hyperlink" Target="https://www.sec.gov/Archives/edgar/data/1650164/000165016426000057/tost-20251231.htm" TargetMode="External"/><Relationship Id="rId762" Type="http://schemas.openxmlformats.org/officeDocument/2006/relationships/hyperlink" Target="https://www.sec.gov/Archives/edgar/data/1650164/000165016426000057/tost-20251231.htm" TargetMode="External"/><Relationship Id="rId1185" Type="http://schemas.openxmlformats.org/officeDocument/2006/relationships/hyperlink" Target="https://www.sec.gov/Archives/edgar/data/1650164/000165016425000066/tost-20241231xexhibit991.htm" TargetMode="External"/><Relationship Id="rId1392" Type="http://schemas.openxmlformats.org/officeDocument/2006/relationships/hyperlink" Target="https://data.bls.gov/timeseries/CUUR0000SEFV" TargetMode="External"/><Relationship Id="rId1406" Type="http://schemas.openxmlformats.org/officeDocument/2006/relationships/hyperlink" Target="https://s28.q4cdn.com/141746709/files/doc_financials/2025/q1/Q1-25-Consolidated-Prepared-Remarks.pdf" TargetMode="External"/><Relationship Id="rId194" Type="http://schemas.openxmlformats.org/officeDocument/2006/relationships/hyperlink" Target="https://www.sec.gov/Archives/edgar/data/1650164/000165016425000341/tost-20250930.htm" TargetMode="External"/><Relationship Id="rId208" Type="http://schemas.openxmlformats.org/officeDocument/2006/relationships/hyperlink" Target="https://www.sec.gov/Archives/edgar/data/1650164/000165016423000168/tost-20230331.htm" TargetMode="External"/><Relationship Id="rId415" Type="http://schemas.openxmlformats.org/officeDocument/2006/relationships/hyperlink" Target="https://www.sec.gov/Archives/edgar/data/1650164/000165016425000341/tost-20250930.htm" TargetMode="External"/><Relationship Id="rId622" Type="http://schemas.openxmlformats.org/officeDocument/2006/relationships/hyperlink" Target="https://www.sec.gov/Archives/edgar/data/1650164/000165016426000164/tost-20260630.htm" TargetMode="External"/><Relationship Id="rId1045" Type="http://schemas.openxmlformats.org/officeDocument/2006/relationships/hyperlink" Target="https://www.sec.gov/Archives/edgar/data/1650164/000165016422000089/tost-20220630xexhibit991.htm" TargetMode="External"/><Relationship Id="rId1252" Type="http://schemas.openxmlformats.org/officeDocument/2006/relationships/hyperlink" Target="https://www.sec.gov/Archives/edgar/data/1650164/000165016424000381/tost-20240930xexhibit991.htm" TargetMode="External"/><Relationship Id="rId261" Type="http://schemas.openxmlformats.org/officeDocument/2006/relationships/hyperlink" Target="https://www.sec.gov/Archives/edgar/data/1650164/000165016423000369/tost-20230930.htm" TargetMode="External"/><Relationship Id="rId499" Type="http://schemas.openxmlformats.org/officeDocument/2006/relationships/hyperlink" Target="https://www.sec.gov/Archives/edgar/data/1650164/000165016425000177/tost-20250331.htm" TargetMode="External"/><Relationship Id="rId927" Type="http://schemas.openxmlformats.org/officeDocument/2006/relationships/hyperlink" Target="https://www.sec.gov/Archives/edgar/data/1650164/000165016426000114/tost-20260331.htm" TargetMode="External"/><Relationship Id="rId1112" Type="http://schemas.openxmlformats.org/officeDocument/2006/relationships/hyperlink" Target="https://www.sec.gov/Archives/edgar/data/1650164/000165016425000066/tost-20241231xexhibit991.htm" TargetMode="External"/><Relationship Id="rId56" Type="http://schemas.openxmlformats.org/officeDocument/2006/relationships/hyperlink" Target="https://www.sec.gov/Archives/edgar/data/1650164/000165016426000057/tost-20251231.htm" TargetMode="External"/><Relationship Id="rId359" Type="http://schemas.openxmlformats.org/officeDocument/2006/relationships/hyperlink" Target="https://www.sec.gov/Archives/edgar/data/1650164/000165016425000177/tost-20250331.htm" TargetMode="External"/><Relationship Id="rId566" Type="http://schemas.openxmlformats.org/officeDocument/2006/relationships/hyperlink" Target="https://www.sec.gov/Archives/edgar/data/1650164/000165016426000164/tost-20260630.htm" TargetMode="External"/><Relationship Id="rId773" Type="http://schemas.openxmlformats.org/officeDocument/2006/relationships/hyperlink" Target="https://www.sec.gov/Archives/edgar/data/1650164/000165016422000142/tost-20220930.htm" TargetMode="External"/><Relationship Id="rId1196" Type="http://schemas.openxmlformats.org/officeDocument/2006/relationships/hyperlink" Target="https://www.sec.gov/Archives/edgar/data/1650164/000165016422000009/tost-20211231.htm" TargetMode="External"/><Relationship Id="rId121" Type="http://schemas.openxmlformats.org/officeDocument/2006/relationships/hyperlink" Target="https://www.sec.gov/Archives/edgar/data/1650164/000165016426000164/tost-20260630.htm" TargetMode="External"/><Relationship Id="rId219" Type="http://schemas.openxmlformats.org/officeDocument/2006/relationships/hyperlink" Target="https://www.sec.gov/Archives/edgar/data/1650164/000165016425000341/tost-20250930.htm" TargetMode="External"/><Relationship Id="rId426" Type="http://schemas.openxmlformats.org/officeDocument/2006/relationships/hyperlink" Target="https://www.sec.gov/Archives/edgar/data/1650164/000165016423000168/tost-20230331.htm" TargetMode="External"/><Relationship Id="rId633" Type="http://schemas.openxmlformats.org/officeDocument/2006/relationships/hyperlink" Target="https://www.sec.gov/Archives/edgar/data/1650164/000165016423000369/tost-20230930.htm" TargetMode="External"/><Relationship Id="rId980" Type="http://schemas.openxmlformats.org/officeDocument/2006/relationships/hyperlink" Target="https://www.sec.gov/Archives/edgar/data/1650164/000165016425000072/tost-20241231.htm" TargetMode="External"/><Relationship Id="rId1056" Type="http://schemas.openxmlformats.org/officeDocument/2006/relationships/hyperlink" Target="https://www.sec.gov/Archives/edgar/data/1650164/000165016423000368/tost-20230930xexhibit9911.htm" TargetMode="External"/><Relationship Id="rId1263" Type="http://schemas.openxmlformats.org/officeDocument/2006/relationships/hyperlink" Target="https://www.sec.gov/Archives/edgar/data/1650164/000165016424000175/tost-20240331xexhibit991.htm" TargetMode="External"/><Relationship Id="rId840" Type="http://schemas.openxmlformats.org/officeDocument/2006/relationships/hyperlink" Target="https://www.sec.gov/Archives/edgar/data/1650164/000165016424000283/tost-20240630.htm" TargetMode="External"/><Relationship Id="rId938" Type="http://schemas.openxmlformats.org/officeDocument/2006/relationships/hyperlink" Target="https://www.sec.gov/Archives/edgar/data/1650164/000165016425000072/tost-20241231.htm" TargetMode="External"/><Relationship Id="rId67" Type="http://schemas.openxmlformats.org/officeDocument/2006/relationships/hyperlink" Target="https://www.sec.gov/Archives/edgar/data/1650164/000165016425000290/tost-20250630.htm" TargetMode="External"/><Relationship Id="rId272" Type="http://schemas.openxmlformats.org/officeDocument/2006/relationships/hyperlink" Target="https://www.sec.gov/Archives/edgar/data/1650164/000165016425000341/tost-20250930.htm" TargetMode="External"/><Relationship Id="rId577" Type="http://schemas.openxmlformats.org/officeDocument/2006/relationships/hyperlink" Target="https://www.sec.gov/Archives/edgar/data/1650164/000165016423000168/tost-20230331.htm" TargetMode="External"/><Relationship Id="rId700" Type="http://schemas.openxmlformats.org/officeDocument/2006/relationships/hyperlink" Target="https://www.sec.gov/Archives/edgar/data/1650164/000165016424000283/tost-20240630.htm" TargetMode="External"/><Relationship Id="rId1123" Type="http://schemas.openxmlformats.org/officeDocument/2006/relationships/hyperlink" Target="https://www.sec.gov/Archives/edgar/data/1650164/000165016426000050/tost-20251231xexhibit991.htm" TargetMode="External"/><Relationship Id="rId1330" Type="http://schemas.openxmlformats.org/officeDocument/2006/relationships/hyperlink" Target="https://www.sec.gov/Archives/edgar/data/1650164/000165016422000089/tost-20220630xexhibit991.htm" TargetMode="External"/><Relationship Id="rId132" Type="http://schemas.openxmlformats.org/officeDocument/2006/relationships/hyperlink" Target="https://www.sec.gov/Archives/edgar/data/1650164/000165016422000142/tost-20220930.htm" TargetMode="External"/><Relationship Id="rId784" Type="http://schemas.openxmlformats.org/officeDocument/2006/relationships/hyperlink" Target="https://www.sec.gov/Archives/edgar/data/1650164/000165016425000290/tost-20250630.htm" TargetMode="External"/><Relationship Id="rId991" Type="http://schemas.openxmlformats.org/officeDocument/2006/relationships/hyperlink" Target="https://www.sec.gov/Archives/edgar/data/1650164/000165016421000017/exhibit991.htm" TargetMode="External"/><Relationship Id="rId1067" Type="http://schemas.openxmlformats.org/officeDocument/2006/relationships/hyperlink" Target="https://www.sec.gov/Archives/edgar/data/1650164/000165016426000050/tost-20251231xexhibit991.htm" TargetMode="External"/><Relationship Id="rId437" Type="http://schemas.openxmlformats.org/officeDocument/2006/relationships/hyperlink" Target="https://www.sec.gov/Archives/edgar/data/1650164/000165016425000341/tost-20250930.htm" TargetMode="External"/><Relationship Id="rId644" Type="http://schemas.openxmlformats.org/officeDocument/2006/relationships/hyperlink" Target="https://www.sec.gov/Archives/edgar/data/1650164/000165016426000164/tost-20260630.htm" TargetMode="External"/><Relationship Id="rId851" Type="http://schemas.openxmlformats.org/officeDocument/2006/relationships/hyperlink" Target="https://www.sec.gov/Archives/edgar/data/1650164/000165016422000031/tost-20220331.htm" TargetMode="External"/><Relationship Id="rId1274" Type="http://schemas.openxmlformats.org/officeDocument/2006/relationships/hyperlink" Target="https://www.sec.gov/Archives/edgar/data/1650164/000165016425000288/tost-20250630xexhibit991.htm" TargetMode="External"/><Relationship Id="rId283" Type="http://schemas.openxmlformats.org/officeDocument/2006/relationships/hyperlink" Target="https://www.sec.gov/Archives/edgar/data/1650164/000165016424000383/tost-20240930.htm" TargetMode="External"/><Relationship Id="rId490" Type="http://schemas.openxmlformats.org/officeDocument/2006/relationships/hyperlink" Target="https://www.sec.gov/Archives/edgar/data/1650164/000165016426000057/tost-20251231.htm" TargetMode="External"/><Relationship Id="rId504" Type="http://schemas.openxmlformats.org/officeDocument/2006/relationships/hyperlink" Target="https://www.sec.gov/Archives/edgar/data/1650164/000165016425000341/tost-20250930.htm" TargetMode="External"/><Relationship Id="rId711" Type="http://schemas.openxmlformats.org/officeDocument/2006/relationships/hyperlink" Target="https://www.sec.gov/Archives/edgar/data/1650164/000165016423000168/tost-20230331.htm" TargetMode="External"/><Relationship Id="rId949" Type="http://schemas.openxmlformats.org/officeDocument/2006/relationships/hyperlink" Target="https://www.sec.gov/Archives/edgar/data/1650164/000165016424000084/tost-20231231.htm" TargetMode="External"/><Relationship Id="rId1134" Type="http://schemas.openxmlformats.org/officeDocument/2006/relationships/hyperlink" Target="https://www.sec.gov/Archives/edgar/data/1650164/000165016424000175/tost-20240331xexhibit991.htm" TargetMode="External"/><Relationship Id="rId1341" Type="http://schemas.openxmlformats.org/officeDocument/2006/relationships/hyperlink" Target="https://www.sec.gov/Archives/edgar/data/1650164/000165016423000368/tost-20230930xexhibit9911.htm" TargetMode="External"/><Relationship Id="rId78" Type="http://schemas.openxmlformats.org/officeDocument/2006/relationships/hyperlink" Target="https://www.sec.gov/Archives/edgar/data/1650164/000165016425000072/tost-20241231.htm" TargetMode="External"/><Relationship Id="rId143" Type="http://schemas.openxmlformats.org/officeDocument/2006/relationships/hyperlink" Target="https://www.sec.gov/Archives/edgar/data/1650164/000165016425000341/tost-20250930.htm" TargetMode="External"/><Relationship Id="rId350" Type="http://schemas.openxmlformats.org/officeDocument/2006/relationships/hyperlink" Target="https://www.sec.gov/Archives/edgar/data/1650164/000165016422000142/tost-20220930.htm" TargetMode="External"/><Relationship Id="rId588" Type="http://schemas.openxmlformats.org/officeDocument/2006/relationships/hyperlink" Target="https://www.sec.gov/Archives/edgar/data/1650164/000165016425000341/tost-20250930.htm" TargetMode="External"/><Relationship Id="rId795" Type="http://schemas.openxmlformats.org/officeDocument/2006/relationships/hyperlink" Target="https://www.sec.gov/Archives/edgar/data/1650164/000165016423000168/tost-20230331.htm" TargetMode="External"/><Relationship Id="rId809" Type="http://schemas.openxmlformats.org/officeDocument/2006/relationships/hyperlink" Target="https://www.sec.gov/Archives/edgar/data/1650164/000165016423000069/tost-20221231.htm" TargetMode="External"/><Relationship Id="rId1201" Type="http://schemas.openxmlformats.org/officeDocument/2006/relationships/hyperlink" Target="https://www.sec.gov/Archives/edgar/data/1650164/000165016423000167/tost-20230331xexhibit991.htm" TargetMode="External"/><Relationship Id="rId9" Type="http://schemas.openxmlformats.org/officeDocument/2006/relationships/hyperlink" Target="https://www.sec.gov/Archives/edgar/data/1650164/000165016423000305/tost-20230630.htm" TargetMode="External"/><Relationship Id="rId210" Type="http://schemas.openxmlformats.org/officeDocument/2006/relationships/hyperlink" Target="https://www.sec.gov/Archives/edgar/data/1650164/000165016423000369/tost-20230930.htm" TargetMode="External"/><Relationship Id="rId448" Type="http://schemas.openxmlformats.org/officeDocument/2006/relationships/hyperlink" Target="https://www.sec.gov/Archives/edgar/data/1650164/000165016426000057/tost-20251231.htm" TargetMode="External"/><Relationship Id="rId655" Type="http://schemas.openxmlformats.org/officeDocument/2006/relationships/hyperlink" Target="https://www.sec.gov/Archives/edgar/data/1650164/000165016423000168/tost-20230331.htm" TargetMode="External"/><Relationship Id="rId862" Type="http://schemas.openxmlformats.org/officeDocument/2006/relationships/hyperlink" Target="https://www.sec.gov/Archives/edgar/data/1650164/000165016426000057/tost-20251231.htm" TargetMode="External"/><Relationship Id="rId1078" Type="http://schemas.openxmlformats.org/officeDocument/2006/relationships/hyperlink" Target="https://www.sec.gov/Archives/edgar/data/1650164/000165016422000027/tost-20220331xexhibit991.htm" TargetMode="External"/><Relationship Id="rId1285" Type="http://schemas.openxmlformats.org/officeDocument/2006/relationships/hyperlink" Target="https://www.sec.gov/Archives/edgar/data/1650164/000165016424000069/tost-20231231xexhibit991.htm" TargetMode="External"/><Relationship Id="rId294" Type="http://schemas.openxmlformats.org/officeDocument/2006/relationships/hyperlink" Target="https://www.sec.gov/Archives/edgar/data/1650164/000165016423000069/tost-20221231.htm" TargetMode="External"/><Relationship Id="rId308" Type="http://schemas.openxmlformats.org/officeDocument/2006/relationships/hyperlink" Target="https://www.sec.gov/Archives/edgar/data/1650164/000165016424000383/tost-20240930.htm" TargetMode="External"/><Relationship Id="rId515" Type="http://schemas.openxmlformats.org/officeDocument/2006/relationships/hyperlink" Target="https://www.sec.gov/Archives/edgar/data/1650164/000165016422000142/tost-20220930.htm" TargetMode="External"/><Relationship Id="rId722" Type="http://schemas.openxmlformats.org/officeDocument/2006/relationships/hyperlink" Target="https://www.sec.gov/Archives/edgar/data/1650164/000165016426000057/tost-20251231.htm" TargetMode="External"/><Relationship Id="rId1145" Type="http://schemas.openxmlformats.org/officeDocument/2006/relationships/hyperlink" Target="https://www.sec.gov/Archives/edgar/data/1650164/000165016425000334/tost-20250930xexhibit991.htm" TargetMode="External"/><Relationship Id="rId1352" Type="http://schemas.openxmlformats.org/officeDocument/2006/relationships/hyperlink" Target="https://www.sec.gov/Archives/edgar/data/1650164/000165016426000050/tost-20251231xexhibit991.htm" TargetMode="External"/><Relationship Id="rId89" Type="http://schemas.openxmlformats.org/officeDocument/2006/relationships/hyperlink" Target="https://www.sec.gov/Archives/edgar/data/1650164/000165016424000383/tost-20240930.htm" TargetMode="External"/><Relationship Id="rId154" Type="http://schemas.openxmlformats.org/officeDocument/2006/relationships/hyperlink" Target="https://www.sec.gov/Archives/edgar/data/1650164/000165016426000057/tost-20251231.htm" TargetMode="External"/><Relationship Id="rId361" Type="http://schemas.openxmlformats.org/officeDocument/2006/relationships/hyperlink" Target="https://www.sec.gov/Archives/edgar/data/1650164/000165016425000341/tost-20250930.htm" TargetMode="External"/><Relationship Id="rId599" Type="http://schemas.openxmlformats.org/officeDocument/2006/relationships/hyperlink" Target="https://www.sec.gov/Archives/edgar/data/1650164/000165016423000369/tost-20230930.htm" TargetMode="External"/><Relationship Id="rId1005" Type="http://schemas.openxmlformats.org/officeDocument/2006/relationships/hyperlink" Target="https://www.sec.gov/Archives/edgar/data/1650164/000165016423000368/tost-20230930xexhibit9911.htm" TargetMode="External"/><Relationship Id="rId1212" Type="http://schemas.openxmlformats.org/officeDocument/2006/relationships/hyperlink" Target="https://www.sec.gov/Archives/edgar/data/1650164/000165016426000050/tost-20251231xexhibit991.htm" TargetMode="External"/><Relationship Id="rId459" Type="http://schemas.openxmlformats.org/officeDocument/2006/relationships/hyperlink" Target="https://www.sec.gov/Archives/edgar/data/1650164/000165016425000341/tost-20250930.htm" TargetMode="External"/><Relationship Id="rId666" Type="http://schemas.openxmlformats.org/officeDocument/2006/relationships/hyperlink" Target="https://www.sec.gov/Archives/edgar/data/1650164/000165016426000164/tost-20260630.htm" TargetMode="External"/><Relationship Id="rId873" Type="http://schemas.openxmlformats.org/officeDocument/2006/relationships/hyperlink" Target="https://www.sec.gov/Archives/edgar/data/1650164/000165016422000142/tost-20220930.htm" TargetMode="External"/><Relationship Id="rId1089" Type="http://schemas.openxmlformats.org/officeDocument/2006/relationships/hyperlink" Target="https://www.sec.gov/Archives/edgar/data/1650164/000165016424000282/tost-20240630xexhibit991.htm" TargetMode="External"/><Relationship Id="rId1296" Type="http://schemas.openxmlformats.org/officeDocument/2006/relationships/hyperlink" Target="https://www.sec.gov/Archives/edgar/data/1650164/000165016426000113/tost-20260331xexhibit991.htm" TargetMode="External"/><Relationship Id="rId16" Type="http://schemas.openxmlformats.org/officeDocument/2006/relationships/hyperlink" Target="https://www.sec.gov/Archives/edgar/data/1650164/000165016425000177/tost-20250331.htm" TargetMode="External"/><Relationship Id="rId221" Type="http://schemas.openxmlformats.org/officeDocument/2006/relationships/hyperlink" Target="https://www.sec.gov/Archives/edgar/data/1650164/000165016426000164/tost-20260630.htm" TargetMode="External"/><Relationship Id="rId319" Type="http://schemas.openxmlformats.org/officeDocument/2006/relationships/hyperlink" Target="https://www.sec.gov/Archives/edgar/data/1650164/000165016423000069/tost-20221231.htm" TargetMode="External"/><Relationship Id="rId526" Type="http://schemas.openxmlformats.org/officeDocument/2006/relationships/hyperlink" Target="https://www.sec.gov/Archives/edgar/data/1650164/000165016425000290/tost-20250630.htm" TargetMode="External"/><Relationship Id="rId1156" Type="http://schemas.openxmlformats.org/officeDocument/2006/relationships/hyperlink" Target="https://www.sec.gov/Archives/edgar/data/1650164/000165016424000175/tost-20240331xexhibit991.htm" TargetMode="External"/><Relationship Id="rId1363" Type="http://schemas.openxmlformats.org/officeDocument/2006/relationships/hyperlink" Target="https://www.sec.gov/Archives/edgar/data/1650164/000165016425000066/tost-20241231xexhibit991.htm" TargetMode="External"/><Relationship Id="rId733" Type="http://schemas.openxmlformats.org/officeDocument/2006/relationships/hyperlink" Target="https://www.sec.gov/Archives/edgar/data/1650164/000165016422000142/tost-20220930.htm" TargetMode="External"/><Relationship Id="rId940" Type="http://schemas.openxmlformats.org/officeDocument/2006/relationships/hyperlink" Target="https://www.sec.gov/Archives/edgar/data/1650164/000165016424000283/tost-20240630.htm" TargetMode="External"/><Relationship Id="rId1016" Type="http://schemas.openxmlformats.org/officeDocument/2006/relationships/hyperlink" Target="https://www.sec.gov/Archives/edgar/data/1650164/000165016426000050/tost-20251231xexhibit991.htm" TargetMode="External"/><Relationship Id="rId165" Type="http://schemas.openxmlformats.org/officeDocument/2006/relationships/hyperlink" Target="https://www.sec.gov/Archives/edgar/data/1650164/000165016424000383/tost-20240930.htm" TargetMode="External"/><Relationship Id="rId372" Type="http://schemas.openxmlformats.org/officeDocument/2006/relationships/hyperlink" Target="https://www.sec.gov/Archives/edgar/data/1650164/000165016426000057/tost-20251231.htm" TargetMode="External"/><Relationship Id="rId677" Type="http://schemas.openxmlformats.org/officeDocument/2006/relationships/hyperlink" Target="https://www.sec.gov/Archives/edgar/data/1650164/000165016423000369/tost-20230930.htm" TargetMode="External"/><Relationship Id="rId800" Type="http://schemas.openxmlformats.org/officeDocument/2006/relationships/hyperlink" Target="https://www.sec.gov/Archives/edgar/data/1650164/000165016424000283/tost-20240630.htm" TargetMode="External"/><Relationship Id="rId1223" Type="http://schemas.openxmlformats.org/officeDocument/2006/relationships/hyperlink" Target="https://www.sec.gov/Archives/edgar/data/1650164/000165016422000089/tost-20220630xexhibit991.htm" TargetMode="External"/><Relationship Id="rId232" Type="http://schemas.openxmlformats.org/officeDocument/2006/relationships/hyperlink" Target="https://www.sec.gov/Archives/edgar/data/1650164/000165016422000142/tost-20220930.htm" TargetMode="External"/><Relationship Id="rId884" Type="http://schemas.openxmlformats.org/officeDocument/2006/relationships/hyperlink" Target="https://www.sec.gov/Archives/edgar/data/1650164/000165016425000290/tost-20250630.htm" TargetMode="External"/><Relationship Id="rId27" Type="http://schemas.openxmlformats.org/officeDocument/2006/relationships/hyperlink" Target="https://www.sec.gov/Archives/edgar/data/1650164/000165016424000084/tost-20231231.htm" TargetMode="External"/><Relationship Id="rId537" Type="http://schemas.openxmlformats.org/officeDocument/2006/relationships/hyperlink" Target="https://www.sec.gov/Archives/edgar/data/1650164/000165016426000057/tost-20251231.htm" TargetMode="External"/><Relationship Id="rId744" Type="http://schemas.openxmlformats.org/officeDocument/2006/relationships/hyperlink" Target="https://www.sec.gov/Archives/edgar/data/1650164/000165016425000290/tost-20250630.htm" TargetMode="External"/><Relationship Id="rId951" Type="http://schemas.openxmlformats.org/officeDocument/2006/relationships/hyperlink" Target="https://www.sec.gov/Archives/edgar/data/1650164/000165016423000305/tost-20230630.htm" TargetMode="External"/><Relationship Id="rId1167" Type="http://schemas.openxmlformats.org/officeDocument/2006/relationships/hyperlink" Target="https://www.sec.gov/Archives/edgar/data/1650164/000165016425000334/tost-20250930xexhibit991.htm" TargetMode="External"/><Relationship Id="rId1374" Type="http://schemas.openxmlformats.org/officeDocument/2006/relationships/hyperlink" Target="https://data.bls.gov/timeseries/CUUR0000SEFV" TargetMode="External"/><Relationship Id="rId80" Type="http://schemas.openxmlformats.org/officeDocument/2006/relationships/hyperlink" Target="https://www.sec.gov/Archives/edgar/data/1650164/000165016426000057/tost-20251231.htm" TargetMode="External"/><Relationship Id="rId176" Type="http://schemas.openxmlformats.org/officeDocument/2006/relationships/hyperlink" Target="https://www.sec.gov/Archives/edgar/data/1650164/000165016423000069/tost-20221231.htm" TargetMode="External"/><Relationship Id="rId383" Type="http://schemas.openxmlformats.org/officeDocument/2006/relationships/hyperlink" Target="https://www.sec.gov/Archives/edgar/data/1650164/000165016424000383/tost-20240930.htm" TargetMode="External"/><Relationship Id="rId590" Type="http://schemas.openxmlformats.org/officeDocument/2006/relationships/hyperlink" Target="https://www.sec.gov/Archives/edgar/data/1650164/000165016426000164/tost-20260630.htm" TargetMode="External"/><Relationship Id="rId604" Type="http://schemas.openxmlformats.org/officeDocument/2006/relationships/hyperlink" Target="https://www.sec.gov/Archives/edgar/data/1650164/000165016425000290/tost-20250630.htm" TargetMode="External"/><Relationship Id="rId811" Type="http://schemas.openxmlformats.org/officeDocument/2006/relationships/hyperlink" Target="https://www.sec.gov/Archives/edgar/data/1650164/000165016423000168/tost-20230331.htm" TargetMode="External"/><Relationship Id="rId1027" Type="http://schemas.openxmlformats.org/officeDocument/2006/relationships/hyperlink" Target="https://www.sec.gov/Archives/edgar/data/1650164/000165016423000050/tost-20221231xexhibit991.htm" TargetMode="External"/><Relationship Id="rId1234" Type="http://schemas.openxmlformats.org/officeDocument/2006/relationships/hyperlink" Target="https://www.sec.gov/Archives/edgar/data/1650164/000165016424000381/tost-20240930xexhibit991.htm" TargetMode="External"/><Relationship Id="rId243" Type="http://schemas.openxmlformats.org/officeDocument/2006/relationships/hyperlink" Target="https://www.sec.gov/Archives/edgar/data/1650164/000165016425000341/tost-20250930.htm" TargetMode="External"/><Relationship Id="rId450" Type="http://schemas.openxmlformats.org/officeDocument/2006/relationships/hyperlink" Target="https://www.sec.gov/Archives/edgar/data/1650164/000165016422000142/tost-20220930.htm" TargetMode="External"/><Relationship Id="rId688" Type="http://schemas.openxmlformats.org/officeDocument/2006/relationships/hyperlink" Target="https://www.sec.gov/Archives/edgar/data/1650164/000165016426000164/tost-20260630.htm" TargetMode="External"/><Relationship Id="rId895" Type="http://schemas.openxmlformats.org/officeDocument/2006/relationships/hyperlink" Target="https://www.sec.gov/Archives/edgar/data/1650164/000165016423000168/tost-20230331.htm" TargetMode="External"/><Relationship Id="rId909" Type="http://schemas.openxmlformats.org/officeDocument/2006/relationships/hyperlink" Target="https://www.sec.gov/Archives/edgar/data/1650164/000165016422000009/tost-20211231.htm" TargetMode="External"/><Relationship Id="rId1080" Type="http://schemas.openxmlformats.org/officeDocument/2006/relationships/hyperlink" Target="https://www.sec.gov/Archives/edgar/data/1650164/000165016422000141/tost-20220930xexhibit991.htm" TargetMode="External"/><Relationship Id="rId1301" Type="http://schemas.openxmlformats.org/officeDocument/2006/relationships/hyperlink" Target="https://www.sec.gov/Archives/edgar/data/1650164/000165016422000089/tost-20220630xexhibit991.htm" TargetMode="External"/><Relationship Id="rId38" Type="http://schemas.openxmlformats.org/officeDocument/2006/relationships/hyperlink" Target="https://www.sec.gov/Archives/edgar/data/1650164/000165016424000283/tost-20240630.htm" TargetMode="External"/><Relationship Id="rId103" Type="http://schemas.openxmlformats.org/officeDocument/2006/relationships/hyperlink" Target="https://www.sec.gov/Archives/edgar/data/1650164/000165016425000072/tost-20241231.htm" TargetMode="External"/><Relationship Id="rId310" Type="http://schemas.openxmlformats.org/officeDocument/2006/relationships/hyperlink" Target="https://www.sec.gov/Archives/edgar/data/1650164/000165016425000290/tost-20250630.htm" TargetMode="External"/><Relationship Id="rId548" Type="http://schemas.openxmlformats.org/officeDocument/2006/relationships/hyperlink" Target="https://www.sec.gov/Archives/edgar/data/1650164/000165016425000341/tost-20250930.htm" TargetMode="External"/><Relationship Id="rId755" Type="http://schemas.openxmlformats.org/officeDocument/2006/relationships/hyperlink" Target="https://www.sec.gov/Archives/edgar/data/1650164/000165016423000168/tost-20230331.htm" TargetMode="External"/><Relationship Id="rId962" Type="http://schemas.openxmlformats.org/officeDocument/2006/relationships/hyperlink" Target="https://www.sec.gov/Archives/edgar/data/1650164/000165016426000164/tost-20260630.htm" TargetMode="External"/><Relationship Id="rId1178" Type="http://schemas.openxmlformats.org/officeDocument/2006/relationships/hyperlink" Target="https://www.sec.gov/Archives/edgar/data/1650164/000165016424000175/tost-20240331xexhibit991.htm" TargetMode="External"/><Relationship Id="rId1385" Type="http://schemas.openxmlformats.org/officeDocument/2006/relationships/hyperlink" Target="https://data.bls.gov/timeseries/CUUR0000SEFV" TargetMode="External"/><Relationship Id="rId91" Type="http://schemas.openxmlformats.org/officeDocument/2006/relationships/hyperlink" Target="https://www.sec.gov/Archives/edgar/data/1650164/000165016425000177/tost-20250331.htm" TargetMode="External"/><Relationship Id="rId187" Type="http://schemas.openxmlformats.org/officeDocument/2006/relationships/hyperlink" Target="https://www.sec.gov/Archives/edgar/data/1650164/000165016424000177/tost-20240331.htm" TargetMode="External"/><Relationship Id="rId394" Type="http://schemas.openxmlformats.org/officeDocument/2006/relationships/hyperlink" Target="https://www.sec.gov/Archives/edgar/data/1650164/000165016423000069/tost-20221231.htm" TargetMode="External"/><Relationship Id="rId408" Type="http://schemas.openxmlformats.org/officeDocument/2006/relationships/hyperlink" Target="https://www.sec.gov/Archives/edgar/data/1650164/000165016424000383/tost-20240930.htm" TargetMode="External"/><Relationship Id="rId615" Type="http://schemas.openxmlformats.org/officeDocument/2006/relationships/hyperlink" Target="https://www.sec.gov/Archives/edgar/data/1650164/000165016424000177/tost-20240331.htm" TargetMode="External"/><Relationship Id="rId822" Type="http://schemas.openxmlformats.org/officeDocument/2006/relationships/hyperlink" Target="https://www.sec.gov/Archives/edgar/data/1650164/000165016426000057/tost-20251231.htm" TargetMode="External"/><Relationship Id="rId1038" Type="http://schemas.openxmlformats.org/officeDocument/2006/relationships/hyperlink" Target="https://www.sec.gov/Archives/edgar/data/1650164/000165016425000334/tost-20250930xexhibit991.htm" TargetMode="External"/><Relationship Id="rId1245" Type="http://schemas.openxmlformats.org/officeDocument/2006/relationships/hyperlink" Target="https://www.sec.gov/Archives/edgar/data/1650164/000165016424000175/tost-20240331xexhibit991.htm" TargetMode="External"/><Relationship Id="rId254" Type="http://schemas.openxmlformats.org/officeDocument/2006/relationships/hyperlink" Target="https://www.sec.gov/Archives/edgar/data/1650164/000165016426000057/tost-20251231.htm" TargetMode="External"/><Relationship Id="rId699" Type="http://schemas.openxmlformats.org/officeDocument/2006/relationships/hyperlink" Target="https://www.sec.gov/Archives/edgar/data/1650164/000165016424000177/tost-20240331.htm" TargetMode="External"/><Relationship Id="rId1091" Type="http://schemas.openxmlformats.org/officeDocument/2006/relationships/hyperlink" Target="https://www.sec.gov/Archives/edgar/data/1650164/000165016425000066/tost-20241231xexhibit991.htm" TargetMode="External"/><Relationship Id="rId1105" Type="http://schemas.openxmlformats.org/officeDocument/2006/relationships/hyperlink" Target="https://www.sec.gov/Archives/edgar/data/1650164/000165016424000175/tost-20240331xexhibit991.htm" TargetMode="External"/><Relationship Id="rId1312" Type="http://schemas.openxmlformats.org/officeDocument/2006/relationships/hyperlink" Target="https://www.sec.gov/Archives/edgar/data/1650164/000165016423000368/tost-20230930xexhibit9911.htm" TargetMode="External"/><Relationship Id="rId49" Type="http://schemas.openxmlformats.org/officeDocument/2006/relationships/hyperlink" Target="https://www.sec.gov/Archives/edgar/data/1650164/000165016426000114/tost-20260331.htm" TargetMode="External"/><Relationship Id="rId114" Type="http://schemas.openxmlformats.org/officeDocument/2006/relationships/hyperlink" Target="https://www.sec.gov/Archives/edgar/data/1650164/000165016424000383/tost-20240930.htm" TargetMode="External"/><Relationship Id="rId461" Type="http://schemas.openxmlformats.org/officeDocument/2006/relationships/hyperlink" Target="https://www.sec.gov/Archives/edgar/data/1650164/000165016426000164/tost-20260630.htm" TargetMode="External"/><Relationship Id="rId559" Type="http://schemas.openxmlformats.org/officeDocument/2006/relationships/hyperlink" Target="https://www.sec.gov/Archives/edgar/data/1650164/000165016424000177/tost-20240331.htm" TargetMode="External"/><Relationship Id="rId766" Type="http://schemas.openxmlformats.org/officeDocument/2006/relationships/hyperlink" Target="https://www.sec.gov/Archives/edgar/data/1650164/000165016426000164/tost-20260630.htm" TargetMode="External"/><Relationship Id="rId1189" Type="http://schemas.openxmlformats.org/officeDocument/2006/relationships/hyperlink" Target="https://www.sec.gov/Archives/edgar/data/1650164/000165016425000334/tost-20250930xexhibit991.htm" TargetMode="External"/><Relationship Id="rId1396" Type="http://schemas.openxmlformats.org/officeDocument/2006/relationships/hyperlink" Target="https://data.bls.gov/timeseries/CUUR0000SEFV" TargetMode="External"/><Relationship Id="rId198" Type="http://schemas.openxmlformats.org/officeDocument/2006/relationships/hyperlink" Target="https://www.sec.gov/Archives/edgar/data/1650164/000165016425000341/tost-20250930.htm" TargetMode="External"/><Relationship Id="rId321" Type="http://schemas.openxmlformats.org/officeDocument/2006/relationships/hyperlink" Target="https://www.sec.gov/Archives/edgar/data/1650164/000165016425000072/tost-20241231.htm" TargetMode="External"/><Relationship Id="rId419" Type="http://schemas.openxmlformats.org/officeDocument/2006/relationships/hyperlink" Target="https://www.sec.gov/Archives/edgar/data/1650164/000165016423000069/tost-20221231.htm" TargetMode="External"/><Relationship Id="rId626" Type="http://schemas.openxmlformats.org/officeDocument/2006/relationships/hyperlink" Target="https://www.sec.gov/Archives/edgar/data/1650164/000165016426000164/tost-20260630.htm" TargetMode="External"/><Relationship Id="rId973" Type="http://schemas.openxmlformats.org/officeDocument/2006/relationships/hyperlink" Target="https://www.sec.gov/Archives/edgar/data/1650164/000165016422000031/tost-20220331.htm" TargetMode="External"/><Relationship Id="rId1049" Type="http://schemas.openxmlformats.org/officeDocument/2006/relationships/hyperlink" Target="https://www.sec.gov/Archives/edgar/data/1650164/000165016422000027/tost-20220331xexhibit991.htm" TargetMode="External"/><Relationship Id="rId1256" Type="http://schemas.openxmlformats.org/officeDocument/2006/relationships/hyperlink" Target="https://www.sec.gov/Archives/edgar/data/1650164/000165016425000288/tost-20250630xexhibit991.htm" TargetMode="External"/><Relationship Id="rId833" Type="http://schemas.openxmlformats.org/officeDocument/2006/relationships/hyperlink" Target="https://www.sec.gov/Archives/edgar/data/1650164/000165016422000142/tost-20220930.htm" TargetMode="External"/><Relationship Id="rId1116" Type="http://schemas.openxmlformats.org/officeDocument/2006/relationships/hyperlink" Target="https://www.sec.gov/Archives/edgar/data/1650164/000165016425000175/tost-20250331xexhibit991.htm" TargetMode="External"/><Relationship Id="rId265" Type="http://schemas.openxmlformats.org/officeDocument/2006/relationships/hyperlink" Target="https://www.sec.gov/Archives/edgar/data/1650164/000165016424000383/tost-20240930.htm" TargetMode="External"/><Relationship Id="rId472" Type="http://schemas.openxmlformats.org/officeDocument/2006/relationships/hyperlink" Target="https://www.sec.gov/Archives/edgar/data/1650164/000165016423000168/tost-20230331.htm" TargetMode="External"/><Relationship Id="rId900" Type="http://schemas.openxmlformats.org/officeDocument/2006/relationships/hyperlink" Target="https://www.sec.gov/Archives/edgar/data/1650164/000165016424000283/tost-20240630.htm" TargetMode="External"/><Relationship Id="rId1323" Type="http://schemas.openxmlformats.org/officeDocument/2006/relationships/hyperlink" Target="https://www.sec.gov/Archives/edgar/data/1650164/000165016426000050/tost-20251231xexhibit991.htm" TargetMode="External"/><Relationship Id="rId125" Type="http://schemas.openxmlformats.org/officeDocument/2006/relationships/hyperlink" Target="https://www.sec.gov/Archives/edgar/data/1650164/000165016426000164/tost-20260630.htm" TargetMode="External"/><Relationship Id="rId332" Type="http://schemas.openxmlformats.org/officeDocument/2006/relationships/hyperlink" Target="https://www.sec.gov/Archives/edgar/data/1650164/000165016424000383/tost-20240930.htm" TargetMode="External"/><Relationship Id="rId777" Type="http://schemas.openxmlformats.org/officeDocument/2006/relationships/hyperlink" Target="https://www.sec.gov/Archives/edgar/data/1650164/000165016423000369/tost-20230930.htm" TargetMode="External"/><Relationship Id="rId984" Type="http://schemas.openxmlformats.org/officeDocument/2006/relationships/hyperlink" Target="https://www.sec.gov/Archives/edgar/data/1650164/000165016426000057/tost-20251231.htm" TargetMode="External"/><Relationship Id="rId637" Type="http://schemas.openxmlformats.org/officeDocument/2006/relationships/hyperlink" Target="https://www.sec.gov/Archives/edgar/data/1650164/000165016424000383/tost-20240930.htm" TargetMode="External"/><Relationship Id="rId844" Type="http://schemas.openxmlformats.org/officeDocument/2006/relationships/hyperlink" Target="https://www.sec.gov/Archives/edgar/data/1650164/000165016425000290/tost-20250630.htm" TargetMode="External"/><Relationship Id="rId1267" Type="http://schemas.openxmlformats.org/officeDocument/2006/relationships/hyperlink" Target="https://www.sec.gov/Archives/edgar/data/1650164/000165016424000069/tost-20231231xexhibit991.htm" TargetMode="External"/><Relationship Id="rId276" Type="http://schemas.openxmlformats.org/officeDocument/2006/relationships/hyperlink" Target="https://www.sec.gov/Archives/edgar/data/1650164/000165016425000072/tost-20241231.htm" TargetMode="External"/><Relationship Id="rId483" Type="http://schemas.openxmlformats.org/officeDocument/2006/relationships/hyperlink" Target="https://www.sec.gov/Archives/edgar/data/1650164/000165016425000341/tost-20250930.htm" TargetMode="External"/><Relationship Id="rId690" Type="http://schemas.openxmlformats.org/officeDocument/2006/relationships/hyperlink" Target="https://www.sec.gov/Archives/edgar/data/1650164/000165016423000069/tost-20221231.htm" TargetMode="External"/><Relationship Id="rId704" Type="http://schemas.openxmlformats.org/officeDocument/2006/relationships/hyperlink" Target="https://www.sec.gov/Archives/edgar/data/1650164/000165016425000290/tost-20250630.htm" TargetMode="External"/><Relationship Id="rId911" Type="http://schemas.openxmlformats.org/officeDocument/2006/relationships/hyperlink" Target="https://www.sec.gov/Archives/edgar/data/1650164/000165016422000031/tost-20220331.htm" TargetMode="External"/><Relationship Id="rId1127" Type="http://schemas.openxmlformats.org/officeDocument/2006/relationships/hyperlink" Target="https://www.sec.gov/Archives/edgar/data/1650164/000165016423000304/tost-20230630xexhibit991.htm" TargetMode="External"/><Relationship Id="rId1334" Type="http://schemas.openxmlformats.org/officeDocument/2006/relationships/hyperlink" Target="https://www.sec.gov/Archives/edgar/data/1650164/000165016422000027/tost-20220331xexhibit991.htm" TargetMode="External"/><Relationship Id="rId40" Type="http://schemas.openxmlformats.org/officeDocument/2006/relationships/hyperlink" Target="https://www.sec.gov/Archives/edgar/data/1650164/000165016424000383/tost-20240930.htm" TargetMode="External"/><Relationship Id="rId136" Type="http://schemas.openxmlformats.org/officeDocument/2006/relationships/hyperlink" Target="https://www.sec.gov/Archives/edgar/data/1650164/000165016423000369/tost-20230930.htm" TargetMode="External"/><Relationship Id="rId343" Type="http://schemas.openxmlformats.org/officeDocument/2006/relationships/hyperlink" Target="https://www.sec.gov/Archives/edgar/data/1650164/000165016426000164/tost-20260630.htm" TargetMode="External"/><Relationship Id="rId550" Type="http://schemas.openxmlformats.org/officeDocument/2006/relationships/hyperlink" Target="https://www.sec.gov/Archives/edgar/data/1650164/000165016426000164/tost-20260630.htm" TargetMode="External"/><Relationship Id="rId788" Type="http://schemas.openxmlformats.org/officeDocument/2006/relationships/hyperlink" Target="https://www.sec.gov/Archives/edgar/data/1650164/000165016426000164/tost-20260630.htm" TargetMode="External"/><Relationship Id="rId995" Type="http://schemas.openxmlformats.org/officeDocument/2006/relationships/hyperlink" Target="https://www.sec.gov/Archives/edgar/data/1650164/000165016421000017/exhibit991.htm" TargetMode="External"/><Relationship Id="rId1180" Type="http://schemas.openxmlformats.org/officeDocument/2006/relationships/hyperlink" Target="https://www.sec.gov/Archives/edgar/data/1650164/000165016424000381/tost-20240930xexhibit991.htm" TargetMode="External"/><Relationship Id="rId1401" Type="http://schemas.openxmlformats.org/officeDocument/2006/relationships/hyperlink" Target="https://data.bls.gov/timeseries/CUUR0000SEFV" TargetMode="External"/><Relationship Id="rId203" Type="http://schemas.openxmlformats.org/officeDocument/2006/relationships/hyperlink" Target="https://www.sec.gov/Archives/edgar/data/1650164/000165016425000072/tost-20241231.htm" TargetMode="External"/><Relationship Id="rId648" Type="http://schemas.openxmlformats.org/officeDocument/2006/relationships/hyperlink" Target="https://www.sec.gov/Archives/edgar/data/1650164/000165016426000164/tost-20260630.htm" TargetMode="External"/><Relationship Id="rId855" Type="http://schemas.openxmlformats.org/officeDocument/2006/relationships/hyperlink" Target="https://www.sec.gov/Archives/edgar/data/1650164/000165016423000168/tost-20230331.htm" TargetMode="External"/><Relationship Id="rId1040" Type="http://schemas.openxmlformats.org/officeDocument/2006/relationships/hyperlink" Target="https://www.sec.gov/Archives/edgar/data/1650164/000165016426000113/tost-20260331xexhibit991.htm" TargetMode="External"/><Relationship Id="rId1278" Type="http://schemas.openxmlformats.org/officeDocument/2006/relationships/hyperlink" Target="https://www.sec.gov/Archives/edgar/data/1650164/000165016426000113/tost-20260331xexhibit991.htm" TargetMode="External"/><Relationship Id="rId287" Type="http://schemas.openxmlformats.org/officeDocument/2006/relationships/hyperlink" Target="https://www.sec.gov/Archives/edgar/data/1650164/000165016425000341/tost-20250930.htm" TargetMode="External"/><Relationship Id="rId410" Type="http://schemas.openxmlformats.org/officeDocument/2006/relationships/hyperlink" Target="https://www.sec.gov/Archives/edgar/data/1650164/000165016425000290/tost-20250630.htm" TargetMode="External"/><Relationship Id="rId494" Type="http://schemas.openxmlformats.org/officeDocument/2006/relationships/hyperlink" Target="https://www.sec.gov/Archives/edgar/data/1650164/000165016423000305/tost-20230630.htm" TargetMode="External"/><Relationship Id="rId508" Type="http://schemas.openxmlformats.org/officeDocument/2006/relationships/hyperlink" Target="https://www.sec.gov/Archives/edgar/data/1650164/000165016423000069/tost-20221231.htm" TargetMode="External"/><Relationship Id="rId715" Type="http://schemas.openxmlformats.org/officeDocument/2006/relationships/hyperlink" Target="https://www.sec.gov/Archives/edgar/data/1650164/000165016424000177/tost-20240331.htm" TargetMode="External"/><Relationship Id="rId922" Type="http://schemas.openxmlformats.org/officeDocument/2006/relationships/hyperlink" Target="https://www.sec.gov/Archives/edgar/data/1650164/000165016426000057/tost-20251231.htm" TargetMode="External"/><Relationship Id="rId1138" Type="http://schemas.openxmlformats.org/officeDocument/2006/relationships/hyperlink" Target="https://www.sec.gov/Archives/edgar/data/1650164/000165016425000066/tost-20241231xexhibit991.htm" TargetMode="External"/><Relationship Id="rId1345" Type="http://schemas.openxmlformats.org/officeDocument/2006/relationships/hyperlink" Target="https://www.sec.gov/Archives/edgar/data/1650164/000165016424000282/tost-20240630xexhibit991.htm" TargetMode="External"/><Relationship Id="rId147" Type="http://schemas.openxmlformats.org/officeDocument/2006/relationships/hyperlink" Target="https://www.sec.gov/Archives/edgar/data/1650164/000165016425000341/tost-20250930.htm" TargetMode="External"/><Relationship Id="rId354" Type="http://schemas.openxmlformats.org/officeDocument/2006/relationships/hyperlink" Target="https://www.sec.gov/Archives/edgar/data/1650164/000165016423000369/tost-20230930.htm" TargetMode="External"/><Relationship Id="rId799" Type="http://schemas.openxmlformats.org/officeDocument/2006/relationships/hyperlink" Target="https://www.sec.gov/Archives/edgar/data/1650164/000165016424000177/tost-20240331.htm" TargetMode="External"/><Relationship Id="rId1191" Type="http://schemas.openxmlformats.org/officeDocument/2006/relationships/hyperlink" Target="https://www.sec.gov/Archives/edgar/data/1650164/000165016426000113/tost-20260331xexhibit991.htm" TargetMode="External"/><Relationship Id="rId1205" Type="http://schemas.openxmlformats.org/officeDocument/2006/relationships/hyperlink" Target="https://www.sec.gov/Archives/edgar/data/1650164/000165016424000175/tost-20240331xexhibit991.htm" TargetMode="External"/><Relationship Id="rId51" Type="http://schemas.openxmlformats.org/officeDocument/2006/relationships/hyperlink" Target="https://www.sec.gov/Archives/edgar/data/1650164/000165016423000069/tost-20221231.htm" TargetMode="External"/><Relationship Id="rId561" Type="http://schemas.openxmlformats.org/officeDocument/2006/relationships/hyperlink" Target="https://www.sec.gov/Archives/edgar/data/1650164/000165016424000383/tost-20240930.htm" TargetMode="External"/><Relationship Id="rId659" Type="http://schemas.openxmlformats.org/officeDocument/2006/relationships/hyperlink" Target="https://www.sec.gov/Archives/edgar/data/1650164/000165016424000177/tost-20240331.htm" TargetMode="External"/><Relationship Id="rId866" Type="http://schemas.openxmlformats.org/officeDocument/2006/relationships/hyperlink" Target="https://www.sec.gov/Archives/edgar/data/1650164/000165016426000164/tost-20260630.htm" TargetMode="External"/><Relationship Id="rId1289" Type="http://schemas.openxmlformats.org/officeDocument/2006/relationships/hyperlink" Target="https://www.sec.gov/Archives/edgar/data/1650164/000165016425000066/tost-20241231xexhibit991.htm" TargetMode="External"/><Relationship Id="rId1412" Type="http://schemas.openxmlformats.org/officeDocument/2006/relationships/hyperlink" Target="https://s28.q4cdn.com/141746709/files/doc_financials/2025/q4/Q4-25-Prepared-Remarks.pdf" TargetMode="External"/><Relationship Id="rId214" Type="http://schemas.openxmlformats.org/officeDocument/2006/relationships/hyperlink" Target="https://www.sec.gov/Archives/edgar/data/1650164/000165016424000383/tost-20240930.htm" TargetMode="External"/><Relationship Id="rId298" Type="http://schemas.openxmlformats.org/officeDocument/2006/relationships/hyperlink" Target="https://www.sec.gov/Archives/edgar/data/1650164/000165016426000057/tost-20251231.htm" TargetMode="External"/><Relationship Id="rId421" Type="http://schemas.openxmlformats.org/officeDocument/2006/relationships/hyperlink" Target="https://www.sec.gov/Archives/edgar/data/1650164/000165016425000072/tost-20241231.htm" TargetMode="External"/><Relationship Id="rId519" Type="http://schemas.openxmlformats.org/officeDocument/2006/relationships/hyperlink" Target="https://www.sec.gov/Archives/edgar/data/1650164/000165016423000305/tost-20230630.htm" TargetMode="External"/><Relationship Id="rId1051" Type="http://schemas.openxmlformats.org/officeDocument/2006/relationships/hyperlink" Target="https://www.sec.gov/Archives/edgar/data/1650164/000165016422000141/tost-20220930xexhibit991.htm" TargetMode="External"/><Relationship Id="rId1149" Type="http://schemas.openxmlformats.org/officeDocument/2006/relationships/hyperlink" Target="https://www.sec.gov/Archives/edgar/data/1650164/000165016426000050/tost-20251231xexhibit991.htm" TargetMode="External"/><Relationship Id="rId1356" Type="http://schemas.openxmlformats.org/officeDocument/2006/relationships/hyperlink" Target="https://www.sec.gov/Archives/edgar/data/1650164/000165016424000175/tost-20240331xexhibit991.htm" TargetMode="External"/><Relationship Id="rId158" Type="http://schemas.openxmlformats.org/officeDocument/2006/relationships/hyperlink" Target="https://www.sec.gov/Archives/edgar/data/1650164/000165016423000168/tost-20230331.htm" TargetMode="External"/><Relationship Id="rId726" Type="http://schemas.openxmlformats.org/officeDocument/2006/relationships/hyperlink" Target="https://www.sec.gov/Archives/edgar/data/1650164/000165016426000164/tost-20260630.htm" TargetMode="External"/><Relationship Id="rId933" Type="http://schemas.openxmlformats.org/officeDocument/2006/relationships/hyperlink" Target="https://www.sec.gov/Archives/edgar/data/1650164/000165016422000142/tost-20220930.htm" TargetMode="External"/><Relationship Id="rId1009" Type="http://schemas.openxmlformats.org/officeDocument/2006/relationships/hyperlink" Target="https://www.sec.gov/Archives/edgar/data/1650164/000165016424000282/tost-20240630xexhibit991.htm" TargetMode="External"/><Relationship Id="rId62" Type="http://schemas.openxmlformats.org/officeDocument/2006/relationships/hyperlink" Target="https://www.sec.gov/Archives/edgar/data/1650164/000165016424000177/tost-20240331.htm" TargetMode="External"/><Relationship Id="rId365" Type="http://schemas.openxmlformats.org/officeDocument/2006/relationships/hyperlink" Target="https://www.sec.gov/Archives/edgar/data/1650164/000165016425000341/tost-20250930.htm" TargetMode="External"/><Relationship Id="rId572" Type="http://schemas.openxmlformats.org/officeDocument/2006/relationships/hyperlink" Target="https://www.sec.gov/Archives/edgar/data/1650164/000165016425000072/tost-20241231.htm" TargetMode="External"/><Relationship Id="rId1216" Type="http://schemas.openxmlformats.org/officeDocument/2006/relationships/hyperlink" Target="https://www.sec.gov/Archives/edgar/data/1650164/000165016422000004/earningsrelease.htm" TargetMode="External"/><Relationship Id="rId225" Type="http://schemas.openxmlformats.org/officeDocument/2006/relationships/hyperlink" Target="https://www.sec.gov/Archives/edgar/data/1650164/000165016426000164/tost-20260630.htm" TargetMode="External"/><Relationship Id="rId432" Type="http://schemas.openxmlformats.org/officeDocument/2006/relationships/hyperlink" Target="https://www.sec.gov/Archives/edgar/data/1650164/000165016424000383/tost-20240930.htm" TargetMode="External"/><Relationship Id="rId877" Type="http://schemas.openxmlformats.org/officeDocument/2006/relationships/hyperlink" Target="https://www.sec.gov/Archives/edgar/data/1650164/000165016423000369/tost-20230930.htm" TargetMode="External"/><Relationship Id="rId1062" Type="http://schemas.openxmlformats.org/officeDocument/2006/relationships/hyperlink" Target="https://www.sec.gov/Archives/edgar/data/1650164/000165016425000066/tost-20241231xexhibit991.htm" TargetMode="External"/><Relationship Id="rId737" Type="http://schemas.openxmlformats.org/officeDocument/2006/relationships/hyperlink" Target="https://www.sec.gov/Archives/edgar/data/1650164/000165016423000369/tost-20230930.htm" TargetMode="External"/><Relationship Id="rId944" Type="http://schemas.openxmlformats.org/officeDocument/2006/relationships/hyperlink" Target="https://www.sec.gov/Archives/edgar/data/1650164/000165016425000290/tost-20250630.htm" TargetMode="External"/><Relationship Id="rId1367" Type="http://schemas.openxmlformats.org/officeDocument/2006/relationships/hyperlink" Target="https://www.sec.gov/Archives/edgar/data/1650164/000165016425000334/tost-20250930xexhibit991.htm" TargetMode="External"/><Relationship Id="rId73" Type="http://schemas.openxmlformats.org/officeDocument/2006/relationships/hyperlink" Target="https://www.sec.gov/Archives/edgar/data/1650164/000165016425000341/tost-20250930.htm" TargetMode="External"/><Relationship Id="rId169" Type="http://schemas.openxmlformats.org/officeDocument/2006/relationships/hyperlink" Target="https://www.sec.gov/Archives/edgar/data/1650164/000165016425000341/tost-20250930.htm" TargetMode="External"/><Relationship Id="rId376" Type="http://schemas.openxmlformats.org/officeDocument/2006/relationships/hyperlink" Target="https://www.sec.gov/Archives/edgar/data/1650164/000165016423000168/tost-20230331.htm" TargetMode="External"/><Relationship Id="rId583" Type="http://schemas.openxmlformats.org/officeDocument/2006/relationships/hyperlink" Target="https://www.sec.gov/Archives/edgar/data/1650164/000165016425000177/tost-20250331.htm" TargetMode="External"/><Relationship Id="rId790" Type="http://schemas.openxmlformats.org/officeDocument/2006/relationships/hyperlink" Target="https://www.sec.gov/Archives/edgar/data/1650164/000165016424000084/tost-20231231.htm" TargetMode="External"/><Relationship Id="rId804" Type="http://schemas.openxmlformats.org/officeDocument/2006/relationships/hyperlink" Target="https://www.sec.gov/Archives/edgar/data/1650164/000165016425000290/tost-20250630.htm" TargetMode="External"/><Relationship Id="rId1227" Type="http://schemas.openxmlformats.org/officeDocument/2006/relationships/hyperlink" Target="https://www.sec.gov/Archives/edgar/data/1650164/000165016423000167/tost-20230331xexhibit991.htm" TargetMode="External"/><Relationship Id="rId4" Type="http://schemas.openxmlformats.org/officeDocument/2006/relationships/hyperlink" Target="https://www.sec.gov/Archives/edgar/data/1650164/000165016426000057/tost-20251231.htm" TargetMode="External"/><Relationship Id="rId236" Type="http://schemas.openxmlformats.org/officeDocument/2006/relationships/hyperlink" Target="https://www.sec.gov/Archives/edgar/data/1650164/000165016423000369/tost-20230930.htm" TargetMode="External"/><Relationship Id="rId443" Type="http://schemas.openxmlformats.org/officeDocument/2006/relationships/hyperlink" Target="https://www.sec.gov/Archives/edgar/data/1650164/000165016426000164/tost-20260630.htm" TargetMode="External"/><Relationship Id="rId650" Type="http://schemas.openxmlformats.org/officeDocument/2006/relationships/hyperlink" Target="https://www.sec.gov/Archives/edgar/data/1650164/000165016423000069/tost-20221231.htm" TargetMode="External"/><Relationship Id="rId888" Type="http://schemas.openxmlformats.org/officeDocument/2006/relationships/hyperlink" Target="https://www.sec.gov/Archives/edgar/data/1650164/000165016426000164/tost-20260630.htm" TargetMode="External"/><Relationship Id="rId1073" Type="http://schemas.openxmlformats.org/officeDocument/2006/relationships/hyperlink" Target="https://www.sec.gov/Archives/edgar/data/1650164/000165016422000027/tost-20220331xexhibit991.htm" TargetMode="External"/><Relationship Id="rId1280" Type="http://schemas.openxmlformats.org/officeDocument/2006/relationships/hyperlink" Target="https://www.sec.gov/Archives/edgar/data/1650164/000165016424000069/tost-20231231xexhibit991.htm" TargetMode="External"/><Relationship Id="rId303" Type="http://schemas.openxmlformats.org/officeDocument/2006/relationships/hyperlink" Target="https://www.sec.gov/Archives/edgar/data/1650164/000165016423000369/tost-20230930.htm" TargetMode="External"/><Relationship Id="rId748" Type="http://schemas.openxmlformats.org/officeDocument/2006/relationships/hyperlink" Target="https://www.sec.gov/Archives/edgar/data/1650164/000165016426000164/tost-20260630.htm" TargetMode="External"/><Relationship Id="rId955" Type="http://schemas.openxmlformats.org/officeDocument/2006/relationships/hyperlink" Target="https://www.sec.gov/Archives/edgar/data/1650164/000165016424000283/tost-20240630.htm" TargetMode="External"/><Relationship Id="rId1140" Type="http://schemas.openxmlformats.org/officeDocument/2006/relationships/hyperlink" Target="https://www.sec.gov/Archives/edgar/data/1650164/000165016425000288/tost-20250630xexhibit991.htm" TargetMode="External"/><Relationship Id="rId1378" Type="http://schemas.openxmlformats.org/officeDocument/2006/relationships/hyperlink" Target="https://data.bls.gov/timeseries/CUUR0000SEFV" TargetMode="External"/><Relationship Id="rId84" Type="http://schemas.openxmlformats.org/officeDocument/2006/relationships/hyperlink" Target="https://www.sec.gov/Archives/edgar/data/1650164/000165016423000305/tost-20230630.htm" TargetMode="External"/><Relationship Id="rId387" Type="http://schemas.openxmlformats.org/officeDocument/2006/relationships/hyperlink" Target="https://www.sec.gov/Archives/edgar/data/1650164/000165016425000341/tost-20250930.htm" TargetMode="External"/><Relationship Id="rId510" Type="http://schemas.openxmlformats.org/officeDocument/2006/relationships/hyperlink" Target="https://www.sec.gov/Archives/edgar/data/1650164/000165016425000072/tost-20241231.htm" TargetMode="External"/><Relationship Id="rId594" Type="http://schemas.openxmlformats.org/officeDocument/2006/relationships/hyperlink" Target="https://www.sec.gov/Archives/edgar/data/1650164/000165016426000057/tost-20251231.htm" TargetMode="External"/><Relationship Id="rId608" Type="http://schemas.openxmlformats.org/officeDocument/2006/relationships/hyperlink" Target="https://www.sec.gov/Archives/edgar/data/1650164/000165016426000164/tost-20260630.htm" TargetMode="External"/><Relationship Id="rId815" Type="http://schemas.openxmlformats.org/officeDocument/2006/relationships/hyperlink" Target="https://www.sec.gov/Archives/edgar/data/1650164/000165016424000177/tost-20240331.htm" TargetMode="External"/><Relationship Id="rId1238" Type="http://schemas.openxmlformats.org/officeDocument/2006/relationships/hyperlink" Target="https://www.sec.gov/Archives/edgar/data/1650164/000165016425000288/tost-20250630xexhibit991.htm" TargetMode="External"/><Relationship Id="rId247" Type="http://schemas.openxmlformats.org/officeDocument/2006/relationships/hyperlink" Target="https://www.sec.gov/Archives/edgar/data/1650164/000165016425000341/tost-20250930.htm" TargetMode="External"/><Relationship Id="rId899" Type="http://schemas.openxmlformats.org/officeDocument/2006/relationships/hyperlink" Target="https://www.sec.gov/Archives/edgar/data/1650164/000165016424000177/tost-20240331.htm" TargetMode="External"/><Relationship Id="rId1000" Type="http://schemas.openxmlformats.org/officeDocument/2006/relationships/hyperlink" Target="https://www.sec.gov/Archives/edgar/data/1650164/000165016422000141/tost-20220930xexhibit991.htm" TargetMode="External"/><Relationship Id="rId1084" Type="http://schemas.openxmlformats.org/officeDocument/2006/relationships/hyperlink" Target="https://www.sec.gov/Archives/edgar/data/1650164/000165016423000304/tost-20230630xexhibit991.htm" TargetMode="External"/><Relationship Id="rId1305" Type="http://schemas.openxmlformats.org/officeDocument/2006/relationships/hyperlink" Target="https://www.sec.gov/Archives/edgar/data/1650164/000165016422000027/tost-20220331xexhibit991.htm" TargetMode="External"/><Relationship Id="rId107" Type="http://schemas.openxmlformats.org/officeDocument/2006/relationships/hyperlink" Target="https://www.sec.gov/Archives/edgar/data/1650164/000165016422000142/tost-20220930.htm" TargetMode="External"/><Relationship Id="rId454" Type="http://schemas.openxmlformats.org/officeDocument/2006/relationships/hyperlink" Target="https://www.sec.gov/Archives/edgar/data/1650164/000165016424000177/tost-20240331.htm" TargetMode="External"/><Relationship Id="rId661" Type="http://schemas.openxmlformats.org/officeDocument/2006/relationships/hyperlink" Target="https://www.sec.gov/Archives/edgar/data/1650164/000165016424000383/tost-20240930.htm" TargetMode="External"/><Relationship Id="rId759" Type="http://schemas.openxmlformats.org/officeDocument/2006/relationships/hyperlink" Target="https://www.sec.gov/Archives/edgar/data/1650164/000165016424000177/tost-20240331.htm" TargetMode="External"/><Relationship Id="rId966" Type="http://schemas.openxmlformats.org/officeDocument/2006/relationships/hyperlink" Target="https://www.sec.gov/Archives/edgar/data/1650164/000165016426000164/tost-20260630.htm" TargetMode="External"/><Relationship Id="rId1291" Type="http://schemas.openxmlformats.org/officeDocument/2006/relationships/hyperlink" Target="https://www.sec.gov/Archives/edgar/data/1650164/000165016425000175/tost-20250331xexhibit991.htm" TargetMode="External"/><Relationship Id="rId1389" Type="http://schemas.openxmlformats.org/officeDocument/2006/relationships/hyperlink" Target="https://data.bls.gov/timeseries/CUUR0000SEFV" TargetMode="External"/><Relationship Id="rId11" Type="http://schemas.openxmlformats.org/officeDocument/2006/relationships/hyperlink" Target="https://www.sec.gov/Archives/edgar/data/1650164/000165016423000369/tost-20230930.htm" TargetMode="External"/><Relationship Id="rId314" Type="http://schemas.openxmlformats.org/officeDocument/2006/relationships/hyperlink" Target="https://www.sec.gov/Archives/edgar/data/1650164/000165016426000164/tost-20260630.htm" TargetMode="External"/><Relationship Id="rId398" Type="http://schemas.openxmlformats.org/officeDocument/2006/relationships/hyperlink" Target="https://www.sec.gov/Archives/edgar/data/1650164/000165016426000057/tost-20251231.htm" TargetMode="External"/><Relationship Id="rId521" Type="http://schemas.openxmlformats.org/officeDocument/2006/relationships/hyperlink" Target="https://www.sec.gov/Archives/edgar/data/1650164/000165016423000369/tost-20230930.htm" TargetMode="External"/><Relationship Id="rId619" Type="http://schemas.openxmlformats.org/officeDocument/2006/relationships/hyperlink" Target="https://www.sec.gov/Archives/edgar/data/1650164/000165016425000177/tost-20250331.htm" TargetMode="External"/><Relationship Id="rId1151" Type="http://schemas.openxmlformats.org/officeDocument/2006/relationships/hyperlink" Target="https://www.sec.gov/Archives/edgar/data/1650164/000165016426000162/tost-20260630xexhibit991.htm" TargetMode="External"/><Relationship Id="rId1249" Type="http://schemas.openxmlformats.org/officeDocument/2006/relationships/hyperlink" Target="https://www.sec.gov/Archives/edgar/data/1650164/000165016424000069/tost-20231231xexhibit991.htm" TargetMode="External"/><Relationship Id="rId95" Type="http://schemas.openxmlformats.org/officeDocument/2006/relationships/hyperlink" Target="https://www.sec.gov/Archives/edgar/data/1650164/000165016426000114/tost-20260331.htm" TargetMode="External"/><Relationship Id="rId160" Type="http://schemas.openxmlformats.org/officeDocument/2006/relationships/hyperlink" Target="https://www.sec.gov/Archives/edgar/data/1650164/000165016423000369/tost-20230930.htm" TargetMode="External"/><Relationship Id="rId826" Type="http://schemas.openxmlformats.org/officeDocument/2006/relationships/hyperlink" Target="https://www.sec.gov/Archives/edgar/data/1650164/000165016426000164/tost-20260630.htm" TargetMode="External"/><Relationship Id="rId1011" Type="http://schemas.openxmlformats.org/officeDocument/2006/relationships/hyperlink" Target="https://www.sec.gov/Archives/edgar/data/1650164/000165016426000050/tost-20251231xexhibit991.htm" TargetMode="External"/><Relationship Id="rId1109" Type="http://schemas.openxmlformats.org/officeDocument/2006/relationships/hyperlink" Target="https://www.sec.gov/Archives/edgar/data/1650164/000165016424000282/tost-20240630xexhibit991.htm" TargetMode="External"/><Relationship Id="rId258" Type="http://schemas.openxmlformats.org/officeDocument/2006/relationships/hyperlink" Target="https://www.sec.gov/Archives/edgar/data/1650164/000165016423000168/tost-20230331.htm" TargetMode="External"/><Relationship Id="rId465" Type="http://schemas.openxmlformats.org/officeDocument/2006/relationships/hyperlink" Target="https://www.sec.gov/Archives/edgar/data/1650164/000165016423000069/tost-20221231.htm" TargetMode="External"/><Relationship Id="rId672" Type="http://schemas.openxmlformats.org/officeDocument/2006/relationships/hyperlink" Target="https://www.sec.gov/Archives/edgar/data/1650164/000165016422000092/tost-20220630.htm" TargetMode="External"/><Relationship Id="rId1095" Type="http://schemas.openxmlformats.org/officeDocument/2006/relationships/hyperlink" Target="https://www.sec.gov/Archives/edgar/data/1650164/000165016425000334/tost-20250930xexhibit991.htm" TargetMode="External"/><Relationship Id="rId1316" Type="http://schemas.openxmlformats.org/officeDocument/2006/relationships/hyperlink" Target="https://www.sec.gov/Archives/edgar/data/1650164/000165016424000282/tost-20240630xexhibit991.htm" TargetMode="External"/><Relationship Id="rId22" Type="http://schemas.openxmlformats.org/officeDocument/2006/relationships/hyperlink" Target="https://www.sec.gov/Archives/edgar/data/1650164/000165016425000341/tost-20250930.htm" TargetMode="External"/><Relationship Id="rId118" Type="http://schemas.openxmlformats.org/officeDocument/2006/relationships/hyperlink" Target="https://www.sec.gov/Archives/edgar/data/1650164/000165016425000341/tost-20250930.htm" TargetMode="External"/><Relationship Id="rId325" Type="http://schemas.openxmlformats.org/officeDocument/2006/relationships/hyperlink" Target="https://www.sec.gov/Archives/edgar/data/1650164/000165016422000142/tost-20220930.htm" TargetMode="External"/><Relationship Id="rId532" Type="http://schemas.openxmlformats.org/officeDocument/2006/relationships/hyperlink" Target="https://www.sec.gov/Archives/edgar/data/1650164/000165016426000164/tost-20260630.htm" TargetMode="External"/><Relationship Id="rId977" Type="http://schemas.openxmlformats.org/officeDocument/2006/relationships/hyperlink" Target="https://www.sec.gov/Archives/edgar/data/1650164/000165016423000168/tost-20230331.htm" TargetMode="External"/><Relationship Id="rId1162" Type="http://schemas.openxmlformats.org/officeDocument/2006/relationships/hyperlink" Target="https://www.sec.gov/Archives/edgar/data/1650164/000165016425000288/tost-20250630xexhibit991.htm" TargetMode="External"/><Relationship Id="rId171" Type="http://schemas.openxmlformats.org/officeDocument/2006/relationships/hyperlink" Target="https://www.sec.gov/Archives/edgar/data/1650164/000165016426000164/tost-20260630.htm" TargetMode="External"/><Relationship Id="rId837" Type="http://schemas.openxmlformats.org/officeDocument/2006/relationships/hyperlink" Target="https://www.sec.gov/Archives/edgar/data/1650164/000165016423000369/tost-20230930.htm" TargetMode="External"/><Relationship Id="rId1022" Type="http://schemas.openxmlformats.org/officeDocument/2006/relationships/hyperlink" Target="https://www.sec.gov/Archives/edgar/data/1650164/000165016422000141/tost-20220930xexhibit991.htm" TargetMode="External"/><Relationship Id="rId269" Type="http://schemas.openxmlformats.org/officeDocument/2006/relationships/hyperlink" Target="https://www.sec.gov/Archives/edgar/data/1650164/000165016425000341/tost-20250930.htm" TargetMode="External"/><Relationship Id="rId476" Type="http://schemas.openxmlformats.org/officeDocument/2006/relationships/hyperlink" Target="https://www.sec.gov/Archives/edgar/data/1650164/000165016424000283/tost-20240630.htm" TargetMode="External"/><Relationship Id="rId683" Type="http://schemas.openxmlformats.org/officeDocument/2006/relationships/hyperlink" Target="https://www.sec.gov/Archives/edgar/data/1650164/000165016425000177/tost-20250331.htm" TargetMode="External"/><Relationship Id="rId890" Type="http://schemas.openxmlformats.org/officeDocument/2006/relationships/hyperlink" Target="https://www.sec.gov/Archives/edgar/data/1650164/000165016423000069/tost-20221231.htm" TargetMode="External"/><Relationship Id="rId904" Type="http://schemas.openxmlformats.org/officeDocument/2006/relationships/hyperlink" Target="https://www.sec.gov/Archives/edgar/data/1650164/000165016425000290/tost-20250630.htm" TargetMode="External"/><Relationship Id="rId1327" Type="http://schemas.openxmlformats.org/officeDocument/2006/relationships/hyperlink" Target="https://www.sec.gov/Archives/edgar/data/1650164/000165016421000017/exhibit991.htm" TargetMode="External"/><Relationship Id="rId33" Type="http://schemas.openxmlformats.org/officeDocument/2006/relationships/hyperlink" Target="https://www.sec.gov/Archives/edgar/data/1650164/000165016423000168/tost-20230331.htm" TargetMode="External"/><Relationship Id="rId129" Type="http://schemas.openxmlformats.org/officeDocument/2006/relationships/hyperlink" Target="https://www.sec.gov/Archives/edgar/data/1650164/000165016426000057/tost-20251231.htm" TargetMode="External"/><Relationship Id="rId336" Type="http://schemas.openxmlformats.org/officeDocument/2006/relationships/hyperlink" Target="https://www.sec.gov/Archives/edgar/data/1650164/000165016425000341/tost-20250930.htm" TargetMode="External"/><Relationship Id="rId543" Type="http://schemas.openxmlformats.org/officeDocument/2006/relationships/hyperlink" Target="https://www.sec.gov/Archives/edgar/data/1650164/000165016424000177/tost-20240331.htm" TargetMode="External"/><Relationship Id="rId988" Type="http://schemas.openxmlformats.org/officeDocument/2006/relationships/hyperlink" Target="https://www.sec.gov/Archives/edgar/data/1650164/000165016426000164/tost-20260630.htm" TargetMode="External"/><Relationship Id="rId1173" Type="http://schemas.openxmlformats.org/officeDocument/2006/relationships/hyperlink" Target="https://www.sec.gov/Archives/edgar/data/1650164/000165016426000162/tost-20260630xexhibit991.htm" TargetMode="External"/><Relationship Id="rId1380" Type="http://schemas.openxmlformats.org/officeDocument/2006/relationships/hyperlink" Target="https://data.bls.gov/timeseries/CUUR0000SEFV" TargetMode="External"/><Relationship Id="rId182" Type="http://schemas.openxmlformats.org/officeDocument/2006/relationships/hyperlink" Target="https://www.sec.gov/Archives/edgar/data/1650164/000165016422000142/tost-20220930.htm" TargetMode="External"/><Relationship Id="rId403" Type="http://schemas.openxmlformats.org/officeDocument/2006/relationships/hyperlink" Target="https://www.sec.gov/Archives/edgar/data/1650164/000165016423000369/tost-20230930.htm" TargetMode="External"/><Relationship Id="rId750" Type="http://schemas.openxmlformats.org/officeDocument/2006/relationships/hyperlink" Target="https://www.sec.gov/Archives/edgar/data/1650164/000165016423000069/tost-20221231.htm" TargetMode="External"/><Relationship Id="rId848" Type="http://schemas.openxmlformats.org/officeDocument/2006/relationships/hyperlink" Target="https://www.sec.gov/Archives/edgar/data/1650164/000165016426000164/tost-20260630.htm" TargetMode="External"/><Relationship Id="rId1033" Type="http://schemas.openxmlformats.org/officeDocument/2006/relationships/hyperlink" Target="https://www.sec.gov/Archives/edgar/data/1650164/000165016424000282/tost-20240630xexhibit991.htm" TargetMode="External"/><Relationship Id="rId487" Type="http://schemas.openxmlformats.org/officeDocument/2006/relationships/hyperlink" Target="https://www.sec.gov/Archives/edgar/data/1650164/000165016424000084/tost-20231231.htm" TargetMode="External"/><Relationship Id="rId610" Type="http://schemas.openxmlformats.org/officeDocument/2006/relationships/hyperlink" Target="https://www.sec.gov/Archives/edgar/data/1650164/000165016425000072/tost-20241231.htm" TargetMode="External"/><Relationship Id="rId694" Type="http://schemas.openxmlformats.org/officeDocument/2006/relationships/hyperlink" Target="https://www.sec.gov/Archives/edgar/data/1650164/000165016424000084/tost-20231231.htm" TargetMode="External"/><Relationship Id="rId708" Type="http://schemas.openxmlformats.org/officeDocument/2006/relationships/hyperlink" Target="https://www.sec.gov/Archives/edgar/data/1650164/000165016426000164/tost-20260630.htm" TargetMode="External"/><Relationship Id="rId915" Type="http://schemas.openxmlformats.org/officeDocument/2006/relationships/hyperlink" Target="https://www.sec.gov/Archives/edgar/data/1650164/000165016423000168/tost-20230331.htm" TargetMode="External"/><Relationship Id="rId1240" Type="http://schemas.openxmlformats.org/officeDocument/2006/relationships/hyperlink" Target="https://www.sec.gov/Archives/edgar/data/1650164/000165016426000050/tost-20251231xexhibit991.htm" TargetMode="External"/><Relationship Id="rId1338" Type="http://schemas.openxmlformats.org/officeDocument/2006/relationships/hyperlink" Target="https://www.sec.gov/Archives/edgar/data/1650164/000165016423000050/tost-20221231xexhibit991.htm" TargetMode="External"/><Relationship Id="rId347" Type="http://schemas.openxmlformats.org/officeDocument/2006/relationships/hyperlink" Target="https://www.sec.gov/Archives/edgar/data/1650164/000165016426000057/tost-20251231.htm" TargetMode="External"/><Relationship Id="rId999" Type="http://schemas.openxmlformats.org/officeDocument/2006/relationships/hyperlink" Target="https://www.sec.gov/Archives/edgar/data/1650164/000165016422000089/tost-20220630xexhibit991.htm" TargetMode="External"/><Relationship Id="rId1100" Type="http://schemas.openxmlformats.org/officeDocument/2006/relationships/hyperlink" Target="https://www.sec.gov/Archives/edgar/data/1650164/000165016423000304/tost-20230630xexhibit991.htm" TargetMode="External"/><Relationship Id="rId1184" Type="http://schemas.openxmlformats.org/officeDocument/2006/relationships/hyperlink" Target="https://www.sec.gov/Archives/edgar/data/1650164/000165016425000288/tost-20250630xexhibit991.htm" TargetMode="External"/><Relationship Id="rId1405" Type="http://schemas.openxmlformats.org/officeDocument/2006/relationships/hyperlink" Target="https://s28.q4cdn.com/141746709/files/doc_financials/2025/q1/Q1-25-Consolidated-Prepared-Remarks.pdf" TargetMode="External"/><Relationship Id="rId44" Type="http://schemas.openxmlformats.org/officeDocument/2006/relationships/hyperlink" Target="https://www.sec.gov/Archives/edgar/data/1650164/000165016425000341/tost-20250930.htm" TargetMode="External"/><Relationship Id="rId554" Type="http://schemas.openxmlformats.org/officeDocument/2006/relationships/hyperlink" Target="https://www.sec.gov/Archives/edgar/data/1650164/000165016425000072/tost-20241231.htm" TargetMode="External"/><Relationship Id="rId761" Type="http://schemas.openxmlformats.org/officeDocument/2006/relationships/hyperlink" Target="https://www.sec.gov/Archives/edgar/data/1650164/000165016424000383/tost-20240930.htm" TargetMode="External"/><Relationship Id="rId859" Type="http://schemas.openxmlformats.org/officeDocument/2006/relationships/hyperlink" Target="https://www.sec.gov/Archives/edgar/data/1650164/000165016424000177/tost-20240331.htm" TargetMode="External"/><Relationship Id="rId1391" Type="http://schemas.openxmlformats.org/officeDocument/2006/relationships/hyperlink" Target="https://data.bls.gov/timeseries/CUUR0000SEFV" TargetMode="External"/><Relationship Id="rId193" Type="http://schemas.openxmlformats.org/officeDocument/2006/relationships/hyperlink" Target="https://www.sec.gov/Archives/edgar/data/1650164/000165016425000341/tost-20250930.htm" TargetMode="External"/><Relationship Id="rId207" Type="http://schemas.openxmlformats.org/officeDocument/2006/relationships/hyperlink" Target="https://www.sec.gov/Archives/edgar/data/1650164/000165016422000142/tost-20220930.htm" TargetMode="External"/><Relationship Id="rId414" Type="http://schemas.openxmlformats.org/officeDocument/2006/relationships/hyperlink" Target="https://www.sec.gov/Archives/edgar/data/1650164/000165016426000164/tost-20260630.htm" TargetMode="External"/><Relationship Id="rId498" Type="http://schemas.openxmlformats.org/officeDocument/2006/relationships/hyperlink" Target="https://www.sec.gov/Archives/edgar/data/1650164/000165016424000383/tost-20240930.htm" TargetMode="External"/><Relationship Id="rId621" Type="http://schemas.openxmlformats.org/officeDocument/2006/relationships/hyperlink" Target="https://www.sec.gov/Archives/edgar/data/1650164/000165016425000341/tost-20250930.htm" TargetMode="External"/><Relationship Id="rId1044" Type="http://schemas.openxmlformats.org/officeDocument/2006/relationships/hyperlink" Target="https://www.sec.gov/Archives/edgar/data/1650164/000165016422000027/tost-20220331xexhibit991.htm" TargetMode="External"/><Relationship Id="rId1251" Type="http://schemas.openxmlformats.org/officeDocument/2006/relationships/hyperlink" Target="https://www.sec.gov/Archives/edgar/data/1650164/000165016424000282/tost-20240630xexhibit991.htm" TargetMode="External"/><Relationship Id="rId1349" Type="http://schemas.openxmlformats.org/officeDocument/2006/relationships/hyperlink" Target="https://www.sec.gov/Archives/edgar/data/1650164/000165016425000175/tost-20250331xexhibit991.htm" TargetMode="External"/><Relationship Id="rId260" Type="http://schemas.openxmlformats.org/officeDocument/2006/relationships/hyperlink" Target="https://www.sec.gov/Archives/edgar/data/1650164/000165016423000369/tost-20230930.htm" TargetMode="External"/><Relationship Id="rId719" Type="http://schemas.openxmlformats.org/officeDocument/2006/relationships/hyperlink" Target="https://www.sec.gov/Archives/edgar/data/1650164/000165016425000177/tost-20250331.htm" TargetMode="External"/><Relationship Id="rId926" Type="http://schemas.openxmlformats.org/officeDocument/2006/relationships/hyperlink" Target="https://www.sec.gov/Archives/edgar/data/1650164/000165016426000164/tost-20260630.htm" TargetMode="External"/><Relationship Id="rId1111" Type="http://schemas.openxmlformats.org/officeDocument/2006/relationships/hyperlink" Target="https://www.sec.gov/Archives/edgar/data/1650164/000165016424000381/tost-20240930xexhibit991.htm" TargetMode="External"/><Relationship Id="rId55" Type="http://schemas.openxmlformats.org/officeDocument/2006/relationships/hyperlink" Target="https://www.sec.gov/Archives/edgar/data/1650164/000165016426000057/tost-20251231.htm" TargetMode="External"/><Relationship Id="rId120" Type="http://schemas.openxmlformats.org/officeDocument/2006/relationships/hyperlink" Target="https://www.sec.gov/Archives/edgar/data/1650164/000165016426000114/tost-20260331.htm" TargetMode="External"/><Relationship Id="rId358" Type="http://schemas.openxmlformats.org/officeDocument/2006/relationships/hyperlink" Target="https://www.sec.gov/Archives/edgar/data/1650164/000165016424000383/tost-20240930.htm" TargetMode="External"/><Relationship Id="rId565" Type="http://schemas.openxmlformats.org/officeDocument/2006/relationships/hyperlink" Target="https://www.sec.gov/Archives/edgar/data/1650164/000165016426000114/tost-20260331.htm" TargetMode="External"/><Relationship Id="rId772" Type="http://schemas.openxmlformats.org/officeDocument/2006/relationships/hyperlink" Target="https://www.sec.gov/Archives/edgar/data/1650164/000165016422000092/tost-20220630.htm" TargetMode="External"/><Relationship Id="rId1195" Type="http://schemas.openxmlformats.org/officeDocument/2006/relationships/hyperlink" Target="https://www.sec.gov/Archives/edgar/data/1650164/000165016426000162/tost-20260630xexhibit991.htm" TargetMode="External"/><Relationship Id="rId1209" Type="http://schemas.openxmlformats.org/officeDocument/2006/relationships/hyperlink" Target="https://www.sec.gov/Archives/edgar/data/1650164/000165016425000175/tost-20250331xexhibit991.htm" TargetMode="External"/><Relationship Id="rId1416" Type="http://schemas.openxmlformats.org/officeDocument/2006/relationships/hyperlink" Target="https://s28.q4cdn.com/141746709/files/doc_financials/2025/q1/Q1-25-Consolidated-Prepared-Remarks.pdf" TargetMode="External"/><Relationship Id="rId218" Type="http://schemas.openxmlformats.org/officeDocument/2006/relationships/hyperlink" Target="https://www.sec.gov/Archives/edgar/data/1650164/000165016425000341/tost-20250930.htm" TargetMode="External"/><Relationship Id="rId425" Type="http://schemas.openxmlformats.org/officeDocument/2006/relationships/hyperlink" Target="https://www.sec.gov/Archives/edgar/data/1650164/000165016422000142/tost-20220930.htm" TargetMode="External"/><Relationship Id="rId632" Type="http://schemas.openxmlformats.org/officeDocument/2006/relationships/hyperlink" Target="https://www.sec.gov/Archives/edgar/data/1650164/000165016423000305/tost-20230630.htm" TargetMode="External"/><Relationship Id="rId1055" Type="http://schemas.openxmlformats.org/officeDocument/2006/relationships/hyperlink" Target="https://www.sec.gov/Archives/edgar/data/1650164/000165016423000304/tost-20230630xexhibit991.htm" TargetMode="External"/><Relationship Id="rId1262" Type="http://schemas.openxmlformats.org/officeDocument/2006/relationships/hyperlink" Target="https://www.sec.gov/Archives/edgar/data/1650164/000165016424000069/tost-20231231xexhibit991.htm" TargetMode="External"/><Relationship Id="rId271" Type="http://schemas.openxmlformats.org/officeDocument/2006/relationships/hyperlink" Target="https://www.sec.gov/Archives/edgar/data/1650164/000165016426000164/tost-20260630.htm" TargetMode="External"/><Relationship Id="rId937" Type="http://schemas.openxmlformats.org/officeDocument/2006/relationships/hyperlink" Target="https://www.sec.gov/Archives/edgar/data/1650164/000165016423000369/tost-20230930.htm" TargetMode="External"/><Relationship Id="rId1122" Type="http://schemas.openxmlformats.org/officeDocument/2006/relationships/hyperlink" Target="https://www.sec.gov/Archives/edgar/data/1650164/000165016426000162/tost-20260630xexhibit991.htm" TargetMode="External"/><Relationship Id="rId66" Type="http://schemas.openxmlformats.org/officeDocument/2006/relationships/hyperlink" Target="https://www.sec.gov/Archives/edgar/data/1650164/000165016425000177/tost-20250331.htm" TargetMode="External"/><Relationship Id="rId131" Type="http://schemas.openxmlformats.org/officeDocument/2006/relationships/hyperlink" Target="https://www.sec.gov/Archives/edgar/data/1650164/000165016426000057/tost-20251231.htm" TargetMode="External"/><Relationship Id="rId369" Type="http://schemas.openxmlformats.org/officeDocument/2006/relationships/hyperlink" Target="https://www.sec.gov/Archives/edgar/data/1650164/000165016423000069/tost-20221231.htm" TargetMode="External"/><Relationship Id="rId576" Type="http://schemas.openxmlformats.org/officeDocument/2006/relationships/hyperlink" Target="https://www.sec.gov/Archives/edgar/data/1650164/000165016422000142/tost-20220930.htm" TargetMode="External"/><Relationship Id="rId783" Type="http://schemas.openxmlformats.org/officeDocument/2006/relationships/hyperlink" Target="https://www.sec.gov/Archives/edgar/data/1650164/000165016425000177/tost-20250331.htm" TargetMode="External"/><Relationship Id="rId990" Type="http://schemas.openxmlformats.org/officeDocument/2006/relationships/hyperlink" Target="https://www.sec.gov/Archives/edgar/data/1650164/000165016426000164/tost-20260630.htm" TargetMode="External"/><Relationship Id="rId229" Type="http://schemas.openxmlformats.org/officeDocument/2006/relationships/hyperlink" Target="https://www.sec.gov/Archives/edgar/data/1650164/000165016426000057/tost-20251231.htm" TargetMode="External"/><Relationship Id="rId436" Type="http://schemas.openxmlformats.org/officeDocument/2006/relationships/hyperlink" Target="https://www.sec.gov/Archives/edgar/data/1650164/000165016425000341/tost-20250930.htm" TargetMode="External"/><Relationship Id="rId643" Type="http://schemas.openxmlformats.org/officeDocument/2006/relationships/hyperlink" Target="https://www.sec.gov/Archives/edgar/data/1650164/000165016426000114/tost-20260331.htm" TargetMode="External"/><Relationship Id="rId1066" Type="http://schemas.openxmlformats.org/officeDocument/2006/relationships/hyperlink" Target="https://www.sec.gov/Archives/edgar/data/1650164/000165016425000334/tost-20250930xexhibit991.htm" TargetMode="External"/><Relationship Id="rId1273" Type="http://schemas.openxmlformats.org/officeDocument/2006/relationships/hyperlink" Target="https://www.sec.gov/Archives/edgar/data/1650164/000165016425000175/tost-20250331xexhibit991.htm" TargetMode="External"/><Relationship Id="rId850" Type="http://schemas.openxmlformats.org/officeDocument/2006/relationships/hyperlink" Target="https://www.sec.gov/Archives/edgar/data/1650164/000165016423000069/tost-20221231.htm" TargetMode="External"/><Relationship Id="rId948" Type="http://schemas.openxmlformats.org/officeDocument/2006/relationships/hyperlink" Target="https://www.sec.gov/Archives/edgar/data/1650164/000165016426000164/tost-20260630.htm" TargetMode="External"/><Relationship Id="rId1133" Type="http://schemas.openxmlformats.org/officeDocument/2006/relationships/hyperlink" Target="https://www.sec.gov/Archives/edgar/data/1650164/000165016424000069/tost-20231231xexhibit991.htm" TargetMode="External"/><Relationship Id="rId77" Type="http://schemas.openxmlformats.org/officeDocument/2006/relationships/hyperlink" Target="https://www.sec.gov/Archives/edgar/data/1650164/000165016424000084/tost-20231231.htm" TargetMode="External"/><Relationship Id="rId282" Type="http://schemas.openxmlformats.org/officeDocument/2006/relationships/hyperlink" Target="https://www.sec.gov/Archives/edgar/data/1650164/000165016424000383/tost-20240930.htm" TargetMode="External"/><Relationship Id="rId503" Type="http://schemas.openxmlformats.org/officeDocument/2006/relationships/hyperlink" Target="https://www.sec.gov/Archives/edgar/data/1650164/000165016426000164/tost-20260630.htm" TargetMode="External"/><Relationship Id="rId587" Type="http://schemas.openxmlformats.org/officeDocument/2006/relationships/hyperlink" Target="https://www.sec.gov/Archives/edgar/data/1650164/000165016426000164/tost-20260630.htm" TargetMode="External"/><Relationship Id="rId710" Type="http://schemas.openxmlformats.org/officeDocument/2006/relationships/hyperlink" Target="https://www.sec.gov/Archives/edgar/data/1650164/000165016424000084/tost-20231231.htm" TargetMode="External"/><Relationship Id="rId808" Type="http://schemas.openxmlformats.org/officeDocument/2006/relationships/hyperlink" Target="https://www.sec.gov/Archives/edgar/data/1650164/000165016426000164/tost-20260630.htm" TargetMode="External"/><Relationship Id="rId1340" Type="http://schemas.openxmlformats.org/officeDocument/2006/relationships/hyperlink" Target="https://www.sec.gov/Archives/edgar/data/1650164/000165016423000304/tost-20230630xexhibit991.htm" TargetMode="External"/><Relationship Id="rId8" Type="http://schemas.openxmlformats.org/officeDocument/2006/relationships/hyperlink" Target="https://www.sec.gov/Archives/edgar/data/1650164/000165016423000168/tost-20230331.htm" TargetMode="External"/><Relationship Id="rId142" Type="http://schemas.openxmlformats.org/officeDocument/2006/relationships/hyperlink" Target="https://www.sec.gov/Archives/edgar/data/1650164/000165016425000290/tost-20250630.htm" TargetMode="External"/><Relationship Id="rId447" Type="http://schemas.openxmlformats.org/officeDocument/2006/relationships/hyperlink" Target="https://www.sec.gov/Archives/edgar/data/1650164/000165016426000057/tost-20251231.htm" TargetMode="External"/><Relationship Id="rId794" Type="http://schemas.openxmlformats.org/officeDocument/2006/relationships/hyperlink" Target="https://www.sec.gov/Archives/edgar/data/1650164/000165016425000072/tost-20241231.htm" TargetMode="External"/><Relationship Id="rId1077" Type="http://schemas.openxmlformats.org/officeDocument/2006/relationships/hyperlink" Target="https://www.sec.gov/Archives/edgar/data/1650164/000165016422000004/earningsrelease.htm" TargetMode="External"/><Relationship Id="rId1200" Type="http://schemas.openxmlformats.org/officeDocument/2006/relationships/hyperlink" Target="https://www.sec.gov/Archives/edgar/data/1650164/000165016423000050/tost-20221231xexhibit991.htm" TargetMode="External"/><Relationship Id="rId654" Type="http://schemas.openxmlformats.org/officeDocument/2006/relationships/hyperlink" Target="https://www.sec.gov/Archives/edgar/data/1650164/000165016424000084/tost-20231231.htm" TargetMode="External"/><Relationship Id="rId861" Type="http://schemas.openxmlformats.org/officeDocument/2006/relationships/hyperlink" Target="https://www.sec.gov/Archives/edgar/data/1650164/000165016424000383/tost-20240930.htm" TargetMode="External"/><Relationship Id="rId959" Type="http://schemas.openxmlformats.org/officeDocument/2006/relationships/hyperlink" Target="https://www.sec.gov/Archives/edgar/data/1650164/000165016425000290/tost-20250630.htm" TargetMode="External"/><Relationship Id="rId1284" Type="http://schemas.openxmlformats.org/officeDocument/2006/relationships/hyperlink" Target="https://www.sec.gov/Archives/edgar/data/1650164/000165016424000069/tost-20231231xexhibit991.htm" TargetMode="External"/><Relationship Id="rId293" Type="http://schemas.openxmlformats.org/officeDocument/2006/relationships/hyperlink" Target="https://www.sec.gov/Archives/edgar/data/1650164/000165016426000164/tost-20260630.htm" TargetMode="External"/><Relationship Id="rId307" Type="http://schemas.openxmlformats.org/officeDocument/2006/relationships/hyperlink" Target="https://www.sec.gov/Archives/edgar/data/1650164/000165016424000383/tost-20240930.htm" TargetMode="External"/><Relationship Id="rId514" Type="http://schemas.openxmlformats.org/officeDocument/2006/relationships/hyperlink" Target="https://www.sec.gov/Archives/edgar/data/1650164/000165016422000142/tost-20220930.htm" TargetMode="External"/><Relationship Id="rId721" Type="http://schemas.openxmlformats.org/officeDocument/2006/relationships/hyperlink" Target="https://www.sec.gov/Archives/edgar/data/1650164/000165016425000341/tost-20250930.htm" TargetMode="External"/><Relationship Id="rId1144" Type="http://schemas.openxmlformats.org/officeDocument/2006/relationships/hyperlink" Target="https://www.sec.gov/Archives/edgar/data/1650164/000165016425000334/tost-20250930xexhibit991.htm" TargetMode="External"/><Relationship Id="rId1351" Type="http://schemas.openxmlformats.org/officeDocument/2006/relationships/hyperlink" Target="https://www.sec.gov/Archives/edgar/data/1650164/000165016425000334/tost-20250930xexhibit991.htm" TargetMode="External"/><Relationship Id="rId88" Type="http://schemas.openxmlformats.org/officeDocument/2006/relationships/hyperlink" Target="https://www.sec.gov/Archives/edgar/data/1650164/000165016424000283/tost-20240630.htm" TargetMode="External"/><Relationship Id="rId153" Type="http://schemas.openxmlformats.org/officeDocument/2006/relationships/hyperlink" Target="https://www.sec.gov/Archives/edgar/data/1650164/000165016425000072/tost-20241231.htm" TargetMode="External"/><Relationship Id="rId360" Type="http://schemas.openxmlformats.org/officeDocument/2006/relationships/hyperlink" Target="https://www.sec.gov/Archives/edgar/data/1650164/000165016425000290/tost-20250630.htm" TargetMode="External"/><Relationship Id="rId598" Type="http://schemas.openxmlformats.org/officeDocument/2006/relationships/hyperlink" Target="https://www.sec.gov/Archives/edgar/data/1650164/000165016423000168/tost-20230331.htm" TargetMode="External"/><Relationship Id="rId819" Type="http://schemas.openxmlformats.org/officeDocument/2006/relationships/hyperlink" Target="https://www.sec.gov/Archives/edgar/data/1650164/000165016425000177/tost-20250331.htm" TargetMode="External"/><Relationship Id="rId1004" Type="http://schemas.openxmlformats.org/officeDocument/2006/relationships/hyperlink" Target="https://www.sec.gov/Archives/edgar/data/1650164/000165016423000304/tost-20230630xexhibit991.htm" TargetMode="External"/><Relationship Id="rId1211" Type="http://schemas.openxmlformats.org/officeDocument/2006/relationships/hyperlink" Target="https://www.sec.gov/Archives/edgar/data/1650164/000165016425000334/tost-20250930xexhibit991.htm" TargetMode="External"/><Relationship Id="rId220" Type="http://schemas.openxmlformats.org/officeDocument/2006/relationships/hyperlink" Target="https://www.sec.gov/Archives/edgar/data/1650164/000165016426000114/tost-20260331.htm" TargetMode="External"/><Relationship Id="rId458" Type="http://schemas.openxmlformats.org/officeDocument/2006/relationships/hyperlink" Target="https://www.sec.gov/Archives/edgar/data/1650164/000165016425000290/tost-20250630.htm" TargetMode="External"/><Relationship Id="rId665" Type="http://schemas.openxmlformats.org/officeDocument/2006/relationships/hyperlink" Target="https://www.sec.gov/Archives/edgar/data/1650164/000165016425000341/tost-20250930.htm" TargetMode="External"/><Relationship Id="rId872" Type="http://schemas.openxmlformats.org/officeDocument/2006/relationships/hyperlink" Target="https://www.sec.gov/Archives/edgar/data/1650164/000165016422000092/tost-20220630.htm" TargetMode="External"/><Relationship Id="rId1088" Type="http://schemas.openxmlformats.org/officeDocument/2006/relationships/hyperlink" Target="https://www.sec.gov/Archives/edgar/data/1650164/000165016424000175/tost-20240331xexhibit991.htm" TargetMode="External"/><Relationship Id="rId1295" Type="http://schemas.openxmlformats.org/officeDocument/2006/relationships/hyperlink" Target="https://www.sec.gov/Archives/edgar/data/1650164/000165016426000050/tost-20251231xexhibit991.htm" TargetMode="External"/><Relationship Id="rId1309" Type="http://schemas.openxmlformats.org/officeDocument/2006/relationships/hyperlink" Target="https://www.sec.gov/Archives/edgar/data/1650164/000165016423000050/tost-20221231xexhibit991.htm" TargetMode="External"/><Relationship Id="rId15" Type="http://schemas.openxmlformats.org/officeDocument/2006/relationships/hyperlink" Target="https://www.sec.gov/Archives/edgar/data/1650164/000165016424000383/tost-20240930.htm" TargetMode="External"/><Relationship Id="rId318" Type="http://schemas.openxmlformats.org/officeDocument/2006/relationships/hyperlink" Target="https://www.sec.gov/Archives/edgar/data/1650164/000165016426000164/tost-20260630.htm" TargetMode="External"/><Relationship Id="rId525" Type="http://schemas.openxmlformats.org/officeDocument/2006/relationships/hyperlink" Target="https://www.sec.gov/Archives/edgar/data/1650164/000165016425000177/tost-20250331.htm" TargetMode="External"/><Relationship Id="rId732" Type="http://schemas.openxmlformats.org/officeDocument/2006/relationships/hyperlink" Target="https://www.sec.gov/Archives/edgar/data/1650164/000165016422000092/tost-20220630.htm" TargetMode="External"/><Relationship Id="rId1155" Type="http://schemas.openxmlformats.org/officeDocument/2006/relationships/hyperlink" Target="https://www.sec.gov/Archives/edgar/data/1650164/000165016424000069/tost-20231231xexhibit991.htm" TargetMode="External"/><Relationship Id="rId1362" Type="http://schemas.openxmlformats.org/officeDocument/2006/relationships/hyperlink" Target="https://www.sec.gov/Archives/edgar/data/1650164/000165016424000381/tost-20240930xexhibit991.htm" TargetMode="External"/><Relationship Id="rId99" Type="http://schemas.openxmlformats.org/officeDocument/2006/relationships/hyperlink" Target="https://www.sec.gov/Archives/edgar/data/1650164/000165016426000114/tost-20260331.htm" TargetMode="External"/><Relationship Id="rId164" Type="http://schemas.openxmlformats.org/officeDocument/2006/relationships/hyperlink" Target="https://www.sec.gov/Archives/edgar/data/1650164/000165016424000383/tost-20240930.htm" TargetMode="External"/><Relationship Id="rId371" Type="http://schemas.openxmlformats.org/officeDocument/2006/relationships/hyperlink" Target="https://www.sec.gov/Archives/edgar/data/1650164/000165016425000072/tost-20241231.htm" TargetMode="External"/><Relationship Id="rId1015" Type="http://schemas.openxmlformats.org/officeDocument/2006/relationships/hyperlink" Target="https://www.sec.gov/Archives/edgar/data/1650164/000165016426000050/tost-20251231xexhibit991.htm" TargetMode="External"/><Relationship Id="rId1222" Type="http://schemas.openxmlformats.org/officeDocument/2006/relationships/hyperlink" Target="https://www.sec.gov/Archives/edgar/data/1650164/000165016422000027/tost-20220331xexhibit991.htm" TargetMode="External"/><Relationship Id="rId469" Type="http://schemas.openxmlformats.org/officeDocument/2006/relationships/hyperlink" Target="https://www.sec.gov/Archives/edgar/data/1650164/000165016426000057/tost-20251231.htm" TargetMode="External"/><Relationship Id="rId676" Type="http://schemas.openxmlformats.org/officeDocument/2006/relationships/hyperlink" Target="https://www.sec.gov/Archives/edgar/data/1650164/000165016423000305/tost-20230630.htm" TargetMode="External"/><Relationship Id="rId883" Type="http://schemas.openxmlformats.org/officeDocument/2006/relationships/hyperlink" Target="https://www.sec.gov/Archives/edgar/data/1650164/000165016425000177/tost-20250331.htm" TargetMode="External"/><Relationship Id="rId1099" Type="http://schemas.openxmlformats.org/officeDocument/2006/relationships/hyperlink" Target="https://www.sec.gov/Archives/edgar/data/1650164/000165016426000162/tost-20260630xexhibit991.htm" TargetMode="External"/><Relationship Id="rId26" Type="http://schemas.openxmlformats.org/officeDocument/2006/relationships/hyperlink" Target="https://www.sec.gov/Archives/edgar/data/1650164/000165016423000069/tost-20221231.htm" TargetMode="External"/><Relationship Id="rId231" Type="http://schemas.openxmlformats.org/officeDocument/2006/relationships/hyperlink" Target="https://www.sec.gov/Archives/edgar/data/1650164/000165016426000057/tost-20251231.htm" TargetMode="External"/><Relationship Id="rId329" Type="http://schemas.openxmlformats.org/officeDocument/2006/relationships/hyperlink" Target="https://www.sec.gov/Archives/edgar/data/1650164/000165016423000369/tost-20230930.htm" TargetMode="External"/><Relationship Id="rId536" Type="http://schemas.openxmlformats.org/officeDocument/2006/relationships/hyperlink" Target="https://www.sec.gov/Archives/edgar/data/1650164/000165016426000057/tost-20251231.htm" TargetMode="External"/><Relationship Id="rId1166" Type="http://schemas.openxmlformats.org/officeDocument/2006/relationships/hyperlink" Target="https://www.sec.gov/Archives/edgar/data/1650164/000165016425000334/tost-20250930xexhibit991.htm" TargetMode="External"/><Relationship Id="rId1373" Type="http://schemas.openxmlformats.org/officeDocument/2006/relationships/hyperlink" Target="https://data.bls.gov/timeseries/CUUR0000SEFV" TargetMode="External"/><Relationship Id="rId175" Type="http://schemas.openxmlformats.org/officeDocument/2006/relationships/hyperlink" Target="https://www.sec.gov/Archives/edgar/data/1650164/000165016426000164/tost-20260630.htm" TargetMode="External"/><Relationship Id="rId743" Type="http://schemas.openxmlformats.org/officeDocument/2006/relationships/hyperlink" Target="https://www.sec.gov/Archives/edgar/data/1650164/000165016425000177/tost-20250331.htm" TargetMode="External"/><Relationship Id="rId950" Type="http://schemas.openxmlformats.org/officeDocument/2006/relationships/hyperlink" Target="https://www.sec.gov/Archives/edgar/data/1650164/000165016425000072/tost-20241231.htm" TargetMode="External"/><Relationship Id="rId1026" Type="http://schemas.openxmlformats.org/officeDocument/2006/relationships/hyperlink" Target="https://www.sec.gov/Archives/edgar/data/1650164/000165016422000141/tost-20220930xexhibit991.htm" TargetMode="External"/><Relationship Id="rId382" Type="http://schemas.openxmlformats.org/officeDocument/2006/relationships/hyperlink" Target="https://www.sec.gov/Archives/edgar/data/1650164/000165016424000383/tost-20240930.htm" TargetMode="External"/><Relationship Id="rId603" Type="http://schemas.openxmlformats.org/officeDocument/2006/relationships/hyperlink" Target="https://www.sec.gov/Archives/edgar/data/1650164/000165016424000177/tost-20240331.htm" TargetMode="External"/><Relationship Id="rId687" Type="http://schemas.openxmlformats.org/officeDocument/2006/relationships/hyperlink" Target="https://www.sec.gov/Archives/edgar/data/1650164/000165016426000114/tost-20260331.htm" TargetMode="External"/><Relationship Id="rId810" Type="http://schemas.openxmlformats.org/officeDocument/2006/relationships/hyperlink" Target="https://www.sec.gov/Archives/edgar/data/1650164/000165016424000084/tost-20231231.htm" TargetMode="External"/><Relationship Id="rId908" Type="http://schemas.openxmlformats.org/officeDocument/2006/relationships/hyperlink" Target="https://www.sec.gov/Archives/edgar/data/1650164/000165016426000164/tost-20260630.htm" TargetMode="External"/><Relationship Id="rId1233" Type="http://schemas.openxmlformats.org/officeDocument/2006/relationships/hyperlink" Target="https://www.sec.gov/Archives/edgar/data/1650164/000165016424000282/tost-20240630xexhibit991.htm" TargetMode="External"/><Relationship Id="rId242" Type="http://schemas.openxmlformats.org/officeDocument/2006/relationships/hyperlink" Target="https://www.sec.gov/Archives/edgar/data/1650164/000165016425000290/tost-20250630.htm" TargetMode="External"/><Relationship Id="rId894" Type="http://schemas.openxmlformats.org/officeDocument/2006/relationships/hyperlink" Target="https://www.sec.gov/Archives/edgar/data/1650164/000165016424000084/tost-20231231.htm" TargetMode="External"/><Relationship Id="rId1177" Type="http://schemas.openxmlformats.org/officeDocument/2006/relationships/hyperlink" Target="https://www.sec.gov/Archives/edgar/data/1650164/000165016424000069/tost-20231231xexhibit991.htm" TargetMode="External"/><Relationship Id="rId1300" Type="http://schemas.openxmlformats.org/officeDocument/2006/relationships/hyperlink" Target="https://www.sec.gov/Archives/edgar/data/1650164/000165016422000027/tost-20220331xexhibit991.htm" TargetMode="External"/><Relationship Id="rId37" Type="http://schemas.openxmlformats.org/officeDocument/2006/relationships/hyperlink" Target="https://www.sec.gov/Archives/edgar/data/1650164/000165016424000177/tost-20240331.htm" TargetMode="External"/><Relationship Id="rId102" Type="http://schemas.openxmlformats.org/officeDocument/2006/relationships/hyperlink" Target="https://www.sec.gov/Archives/edgar/data/1650164/000165016424000084/tost-20231231.htm" TargetMode="External"/><Relationship Id="rId547" Type="http://schemas.openxmlformats.org/officeDocument/2006/relationships/hyperlink" Target="https://www.sec.gov/Archives/edgar/data/1650164/000165016425000290/tost-20250630.htm" TargetMode="External"/><Relationship Id="rId754" Type="http://schemas.openxmlformats.org/officeDocument/2006/relationships/hyperlink" Target="https://www.sec.gov/Archives/edgar/data/1650164/000165016424000084/tost-20231231.htm" TargetMode="External"/><Relationship Id="rId961" Type="http://schemas.openxmlformats.org/officeDocument/2006/relationships/hyperlink" Target="https://www.sec.gov/Archives/edgar/data/1650164/000165016425000341/tost-20250930.htm" TargetMode="External"/><Relationship Id="rId1384" Type="http://schemas.openxmlformats.org/officeDocument/2006/relationships/hyperlink" Target="https://data.bls.gov/timeseries/CUUR0000SEFV" TargetMode="External"/><Relationship Id="rId90" Type="http://schemas.openxmlformats.org/officeDocument/2006/relationships/hyperlink" Target="https://www.sec.gov/Archives/edgar/data/1650164/000165016424000383/tost-20240930.htm" TargetMode="External"/><Relationship Id="rId186" Type="http://schemas.openxmlformats.org/officeDocument/2006/relationships/hyperlink" Target="https://www.sec.gov/Archives/edgar/data/1650164/000165016423000369/tost-20230930.htm" TargetMode="External"/><Relationship Id="rId393" Type="http://schemas.openxmlformats.org/officeDocument/2006/relationships/hyperlink" Target="https://www.sec.gov/Archives/edgar/data/1650164/000165016426000164/tost-20260630.htm" TargetMode="External"/><Relationship Id="rId407" Type="http://schemas.openxmlformats.org/officeDocument/2006/relationships/hyperlink" Target="https://www.sec.gov/Archives/edgar/data/1650164/000165016424000383/tost-20240930.htm" TargetMode="External"/><Relationship Id="rId614" Type="http://schemas.openxmlformats.org/officeDocument/2006/relationships/hyperlink" Target="https://www.sec.gov/Archives/edgar/data/1650164/000165016426000057/tost-20251231.htm" TargetMode="External"/><Relationship Id="rId821" Type="http://schemas.openxmlformats.org/officeDocument/2006/relationships/hyperlink" Target="https://www.sec.gov/Archives/edgar/data/1650164/000165016425000341/tost-20250930.htm" TargetMode="External"/><Relationship Id="rId1037" Type="http://schemas.openxmlformats.org/officeDocument/2006/relationships/hyperlink" Target="https://www.sec.gov/Archives/edgar/data/1650164/000165016425000288/tost-20250630xexhibit991.htm" TargetMode="External"/><Relationship Id="rId1244" Type="http://schemas.openxmlformats.org/officeDocument/2006/relationships/hyperlink" Target="https://www.sec.gov/Archives/edgar/data/1650164/000165016424000069/tost-20231231xexhibit991.htm" TargetMode="External"/><Relationship Id="rId253" Type="http://schemas.openxmlformats.org/officeDocument/2006/relationships/hyperlink" Target="https://www.sec.gov/Archives/edgar/data/1650164/000165016425000072/tost-20241231.htm" TargetMode="External"/><Relationship Id="rId460" Type="http://schemas.openxmlformats.org/officeDocument/2006/relationships/hyperlink" Target="https://www.sec.gov/Archives/edgar/data/1650164/000165016426000114/tost-20260331.htm" TargetMode="External"/><Relationship Id="rId698" Type="http://schemas.openxmlformats.org/officeDocument/2006/relationships/hyperlink" Target="https://www.sec.gov/Archives/edgar/data/1650164/000165016425000072/tost-20241231.htm" TargetMode="External"/><Relationship Id="rId919" Type="http://schemas.openxmlformats.org/officeDocument/2006/relationships/hyperlink" Target="https://www.sec.gov/Archives/edgar/data/1650164/000165016424000177/tost-20240331.htm" TargetMode="External"/><Relationship Id="rId1090" Type="http://schemas.openxmlformats.org/officeDocument/2006/relationships/hyperlink" Target="https://www.sec.gov/Archives/edgar/data/1650164/000165016424000381/tost-20240930xexhibit991.htm" TargetMode="External"/><Relationship Id="rId1104" Type="http://schemas.openxmlformats.org/officeDocument/2006/relationships/hyperlink" Target="https://www.sec.gov/Archives/edgar/data/1650164/000165016424000069/tost-20231231xexhibit991.htm" TargetMode="External"/><Relationship Id="rId1311" Type="http://schemas.openxmlformats.org/officeDocument/2006/relationships/hyperlink" Target="https://www.sec.gov/Archives/edgar/data/1650164/000165016423000304/tost-20230630xexhibit991.htm" TargetMode="External"/><Relationship Id="rId48" Type="http://schemas.openxmlformats.org/officeDocument/2006/relationships/hyperlink" Target="https://www.sec.gov/Archives/edgar/data/1650164/000165016425000341/tost-20250930.htm" TargetMode="External"/><Relationship Id="rId113" Type="http://schemas.openxmlformats.org/officeDocument/2006/relationships/hyperlink" Target="https://www.sec.gov/Archives/edgar/data/1650164/000165016424000283/tost-20240630.htm" TargetMode="External"/><Relationship Id="rId320" Type="http://schemas.openxmlformats.org/officeDocument/2006/relationships/hyperlink" Target="https://www.sec.gov/Archives/edgar/data/1650164/000165016424000084/tost-20231231.htm" TargetMode="External"/><Relationship Id="rId558" Type="http://schemas.openxmlformats.org/officeDocument/2006/relationships/hyperlink" Target="https://www.sec.gov/Archives/edgar/data/1650164/000165016421000018/tost-20210930.htm" TargetMode="External"/><Relationship Id="rId765" Type="http://schemas.openxmlformats.org/officeDocument/2006/relationships/hyperlink" Target="https://www.sec.gov/Archives/edgar/data/1650164/000165016425000341/tost-20250930.htm" TargetMode="External"/><Relationship Id="rId972" Type="http://schemas.openxmlformats.org/officeDocument/2006/relationships/hyperlink" Target="https://www.sec.gov/Archives/edgar/data/1650164/000165016423000069/tost-20221231.htm" TargetMode="External"/><Relationship Id="rId1188" Type="http://schemas.openxmlformats.org/officeDocument/2006/relationships/hyperlink" Target="https://www.sec.gov/Archives/edgar/data/1650164/000165016425000334/tost-20250930xexhibit991.htm" TargetMode="External"/><Relationship Id="rId1395" Type="http://schemas.openxmlformats.org/officeDocument/2006/relationships/hyperlink" Target="https://data.bls.gov/timeseries/CUUR0000SEFV" TargetMode="External"/><Relationship Id="rId1409" Type="http://schemas.openxmlformats.org/officeDocument/2006/relationships/hyperlink" Target="https://s28.q4cdn.com/141746709/files/doc_financials/2026/q2/Q2-26-Consolidated-Prepared-Remarks-2-1.pdf" TargetMode="External"/><Relationship Id="rId197" Type="http://schemas.openxmlformats.org/officeDocument/2006/relationships/hyperlink" Target="https://www.sec.gov/Archives/edgar/data/1650164/000165016425000341/tost-20250930.htm" TargetMode="External"/><Relationship Id="rId418" Type="http://schemas.openxmlformats.org/officeDocument/2006/relationships/hyperlink" Target="https://www.sec.gov/Archives/edgar/data/1650164/000165016426000164/tost-20260630.htm" TargetMode="External"/><Relationship Id="rId625" Type="http://schemas.openxmlformats.org/officeDocument/2006/relationships/hyperlink" Target="https://www.sec.gov/Archives/edgar/data/1650164/000165016425000341/tost-20250930.htm" TargetMode="External"/><Relationship Id="rId832" Type="http://schemas.openxmlformats.org/officeDocument/2006/relationships/hyperlink" Target="https://www.sec.gov/Archives/edgar/data/1650164/000165016422000092/tost-20220630.htm" TargetMode="External"/><Relationship Id="rId1048" Type="http://schemas.openxmlformats.org/officeDocument/2006/relationships/hyperlink" Target="https://www.sec.gov/Archives/edgar/data/1650164/000165016422000004/earningsrelease.htm" TargetMode="External"/><Relationship Id="rId1255" Type="http://schemas.openxmlformats.org/officeDocument/2006/relationships/hyperlink" Target="https://www.sec.gov/Archives/edgar/data/1650164/000165016425000175/tost-20250331xexhibit991.htm" TargetMode="External"/><Relationship Id="rId264" Type="http://schemas.openxmlformats.org/officeDocument/2006/relationships/hyperlink" Target="https://www.sec.gov/Archives/edgar/data/1650164/000165016424000383/tost-20240930.htm" TargetMode="External"/><Relationship Id="rId471" Type="http://schemas.openxmlformats.org/officeDocument/2006/relationships/hyperlink" Target="https://www.sec.gov/Archives/edgar/data/1650164/000165016422000142/tost-20220930.htm" TargetMode="External"/><Relationship Id="rId1115" Type="http://schemas.openxmlformats.org/officeDocument/2006/relationships/hyperlink" Target="https://www.sec.gov/Archives/edgar/data/1650164/000165016425000066/tost-20241231xexhibit991.htm" TargetMode="External"/><Relationship Id="rId1322" Type="http://schemas.openxmlformats.org/officeDocument/2006/relationships/hyperlink" Target="https://www.sec.gov/Archives/edgar/data/1650164/000165016425000334/tost-20250930xexhibit991.htm" TargetMode="External"/><Relationship Id="rId59" Type="http://schemas.openxmlformats.org/officeDocument/2006/relationships/hyperlink" Target="https://www.sec.gov/Archives/edgar/data/1650164/000165016423000305/tost-20230630.htm" TargetMode="External"/><Relationship Id="rId124" Type="http://schemas.openxmlformats.org/officeDocument/2006/relationships/hyperlink" Target="https://www.sec.gov/Archives/edgar/data/1650164/000165016426000114/tost-20260331.htm" TargetMode="External"/><Relationship Id="rId569" Type="http://schemas.openxmlformats.org/officeDocument/2006/relationships/hyperlink" Target="https://www.sec.gov/Archives/edgar/data/1650164/000165016426000164/tost-20260630.htm" TargetMode="External"/><Relationship Id="rId776" Type="http://schemas.openxmlformats.org/officeDocument/2006/relationships/hyperlink" Target="https://www.sec.gov/Archives/edgar/data/1650164/000165016423000305/tost-20230630.htm" TargetMode="External"/><Relationship Id="rId983" Type="http://schemas.openxmlformats.org/officeDocument/2006/relationships/hyperlink" Target="https://www.sec.gov/Archives/edgar/data/1650164/000165016424000383/tost-20240930.htm" TargetMode="External"/><Relationship Id="rId1199" Type="http://schemas.openxmlformats.org/officeDocument/2006/relationships/hyperlink" Target="https://www.sec.gov/Archives/edgar/data/1650164/000165016422000142/tost-20220930.htm" TargetMode="External"/><Relationship Id="rId331" Type="http://schemas.openxmlformats.org/officeDocument/2006/relationships/hyperlink" Target="https://www.sec.gov/Archives/edgar/data/1650164/000165016424000283/tost-20240630.htm" TargetMode="External"/><Relationship Id="rId429" Type="http://schemas.openxmlformats.org/officeDocument/2006/relationships/hyperlink" Target="https://www.sec.gov/Archives/edgar/data/1650164/000165016423000369/tost-20230930.htm" TargetMode="External"/><Relationship Id="rId636" Type="http://schemas.openxmlformats.org/officeDocument/2006/relationships/hyperlink" Target="https://www.sec.gov/Archives/edgar/data/1650164/000165016424000283/tost-20240630.htm" TargetMode="External"/><Relationship Id="rId1059" Type="http://schemas.openxmlformats.org/officeDocument/2006/relationships/hyperlink" Target="https://www.sec.gov/Archives/edgar/data/1650164/000165016424000175/tost-20240331xexhibit991.htm" TargetMode="External"/><Relationship Id="rId1266" Type="http://schemas.openxmlformats.org/officeDocument/2006/relationships/hyperlink" Target="https://www.sec.gov/Archives/edgar/data/1650164/000165016424000069/tost-20231231xexhibit991.htm" TargetMode="External"/><Relationship Id="rId843" Type="http://schemas.openxmlformats.org/officeDocument/2006/relationships/hyperlink" Target="https://www.sec.gov/Archives/edgar/data/1650164/000165016425000177/tost-20250331.htm" TargetMode="External"/><Relationship Id="rId1126" Type="http://schemas.openxmlformats.org/officeDocument/2006/relationships/hyperlink" Target="https://www.sec.gov/Archives/edgar/data/1650164/000165016423000304/tost-20230630xexhibit991.htm" TargetMode="External"/><Relationship Id="rId275" Type="http://schemas.openxmlformats.org/officeDocument/2006/relationships/hyperlink" Target="https://www.sec.gov/Archives/edgar/data/1650164/000165016426000164/tost-20260630.htm" TargetMode="External"/><Relationship Id="rId482" Type="http://schemas.openxmlformats.org/officeDocument/2006/relationships/hyperlink" Target="https://www.sec.gov/Archives/edgar/data/1650164/000165016426000164/tost-20260630.htm" TargetMode="External"/><Relationship Id="rId703" Type="http://schemas.openxmlformats.org/officeDocument/2006/relationships/hyperlink" Target="https://www.sec.gov/Archives/edgar/data/1650164/000165016425000177/tost-20250331.htm" TargetMode="External"/><Relationship Id="rId910" Type="http://schemas.openxmlformats.org/officeDocument/2006/relationships/hyperlink" Target="https://www.sec.gov/Archives/edgar/data/1650164/000165016423000069/tost-20221231.htm" TargetMode="External"/><Relationship Id="rId1333" Type="http://schemas.openxmlformats.org/officeDocument/2006/relationships/hyperlink" Target="https://www.sec.gov/Archives/edgar/data/1650164/000165016422000004/earningsrelease.htm" TargetMode="External"/><Relationship Id="rId135" Type="http://schemas.openxmlformats.org/officeDocument/2006/relationships/hyperlink" Target="https://www.sec.gov/Archives/edgar/data/1650164/000165016423000369/tost-20230930.htm" TargetMode="External"/><Relationship Id="rId342" Type="http://schemas.openxmlformats.org/officeDocument/2006/relationships/hyperlink" Target="https://www.sec.gov/Archives/edgar/data/1650164/000165016426000114/tost-20260331.htm" TargetMode="External"/><Relationship Id="rId787" Type="http://schemas.openxmlformats.org/officeDocument/2006/relationships/hyperlink" Target="https://www.sec.gov/Archives/edgar/data/1650164/000165016426000114/tost-20260331.htm" TargetMode="External"/><Relationship Id="rId994" Type="http://schemas.openxmlformats.org/officeDocument/2006/relationships/hyperlink" Target="https://www.sec.gov/Archives/edgar/data/1650164/000165016422000089/tost-20220630xexhibit991.htm" TargetMode="External"/><Relationship Id="rId1400" Type="http://schemas.openxmlformats.org/officeDocument/2006/relationships/hyperlink" Target="https://data.bls.gov/timeseries/CUUR0000SEFV" TargetMode="External"/><Relationship Id="rId202" Type="http://schemas.openxmlformats.org/officeDocument/2006/relationships/hyperlink" Target="https://www.sec.gov/Archives/edgar/data/1650164/000165016424000084/tost-20231231.htm" TargetMode="External"/><Relationship Id="rId647" Type="http://schemas.openxmlformats.org/officeDocument/2006/relationships/hyperlink" Target="https://www.sec.gov/Archives/edgar/data/1650164/000165016426000114/tost-20260331.htm" TargetMode="External"/><Relationship Id="rId854" Type="http://schemas.openxmlformats.org/officeDocument/2006/relationships/hyperlink" Target="https://www.sec.gov/Archives/edgar/data/1650164/000165016424000084/tost-20231231.htm" TargetMode="External"/><Relationship Id="rId1277" Type="http://schemas.openxmlformats.org/officeDocument/2006/relationships/hyperlink" Target="https://www.sec.gov/Archives/edgar/data/1650164/000165016426000050/tost-20251231xexhibit991.htm" TargetMode="External"/><Relationship Id="rId286" Type="http://schemas.openxmlformats.org/officeDocument/2006/relationships/hyperlink" Target="https://www.sec.gov/Archives/edgar/data/1650164/000165016425000341/tost-20250930.htm" TargetMode="External"/><Relationship Id="rId493" Type="http://schemas.openxmlformats.org/officeDocument/2006/relationships/hyperlink" Target="https://www.sec.gov/Archives/edgar/data/1650164/000165016423000168/tost-20230331.htm" TargetMode="External"/><Relationship Id="rId507" Type="http://schemas.openxmlformats.org/officeDocument/2006/relationships/hyperlink" Target="https://www.sec.gov/Archives/edgar/data/1650164/000165016423000069/tost-20221231.htm" TargetMode="External"/><Relationship Id="rId714" Type="http://schemas.openxmlformats.org/officeDocument/2006/relationships/hyperlink" Target="https://www.sec.gov/Archives/edgar/data/1650164/000165016425000072/tost-20241231.htm" TargetMode="External"/><Relationship Id="rId921" Type="http://schemas.openxmlformats.org/officeDocument/2006/relationships/hyperlink" Target="https://www.sec.gov/Archives/edgar/data/1650164/000165016424000383/tost-20240930.htm" TargetMode="External"/><Relationship Id="rId1137" Type="http://schemas.openxmlformats.org/officeDocument/2006/relationships/hyperlink" Target="https://www.sec.gov/Archives/edgar/data/1650164/000165016424000381/tost-20240930xexhibit991.htm" TargetMode="External"/><Relationship Id="rId1344" Type="http://schemas.openxmlformats.org/officeDocument/2006/relationships/hyperlink" Target="https://www.sec.gov/Archives/edgar/data/1650164/000165016424000175/tost-20240331xexhibit991.htm" TargetMode="External"/><Relationship Id="rId50" Type="http://schemas.openxmlformats.org/officeDocument/2006/relationships/hyperlink" Target="https://www.sec.gov/Archives/edgar/data/1650164/000165016426000164/tost-20260630.htm" TargetMode="External"/><Relationship Id="rId146" Type="http://schemas.openxmlformats.org/officeDocument/2006/relationships/hyperlink" Target="https://www.sec.gov/Archives/edgar/data/1650164/000165016426000164/tost-20260630.htm" TargetMode="External"/><Relationship Id="rId353" Type="http://schemas.openxmlformats.org/officeDocument/2006/relationships/hyperlink" Target="https://www.sec.gov/Archives/edgar/data/1650164/000165016423000369/tost-20230930.htm" TargetMode="External"/><Relationship Id="rId560" Type="http://schemas.openxmlformats.org/officeDocument/2006/relationships/hyperlink" Target="https://www.sec.gov/Archives/edgar/data/1650164/000165016424000283/tost-20240630.htm" TargetMode="External"/><Relationship Id="rId798" Type="http://schemas.openxmlformats.org/officeDocument/2006/relationships/hyperlink" Target="https://www.sec.gov/Archives/edgar/data/1650164/000165016426000057/tost-20251231.htm" TargetMode="External"/><Relationship Id="rId1190" Type="http://schemas.openxmlformats.org/officeDocument/2006/relationships/hyperlink" Target="https://www.sec.gov/Archives/edgar/data/1650164/000165016426000050/tost-20251231xexhibit991.htm" TargetMode="External"/><Relationship Id="rId1204" Type="http://schemas.openxmlformats.org/officeDocument/2006/relationships/hyperlink" Target="https://www.sec.gov/Archives/edgar/data/1650164/000165016424000069/tost-20231231xexhibit991.htm" TargetMode="External"/><Relationship Id="rId1411" Type="http://schemas.openxmlformats.org/officeDocument/2006/relationships/hyperlink" Target="https://s28.q4cdn.com/141746709/files/doc_financials/2025/q4/Q4-25-Prepared-Remarks.pdf" TargetMode="External"/><Relationship Id="rId213" Type="http://schemas.openxmlformats.org/officeDocument/2006/relationships/hyperlink" Target="https://www.sec.gov/Archives/edgar/data/1650164/000165016424000283/tost-20240630.htm" TargetMode="External"/><Relationship Id="rId420" Type="http://schemas.openxmlformats.org/officeDocument/2006/relationships/hyperlink" Target="https://www.sec.gov/Archives/edgar/data/1650164/000165016424000084/tost-20231231.htm" TargetMode="External"/><Relationship Id="rId658" Type="http://schemas.openxmlformats.org/officeDocument/2006/relationships/hyperlink" Target="https://www.sec.gov/Archives/edgar/data/1650164/000165016425000072/tost-20241231.htm" TargetMode="External"/><Relationship Id="rId865" Type="http://schemas.openxmlformats.org/officeDocument/2006/relationships/hyperlink" Target="https://www.sec.gov/Archives/edgar/data/1650164/000165016425000341/tost-20250930.htm" TargetMode="External"/><Relationship Id="rId1050" Type="http://schemas.openxmlformats.org/officeDocument/2006/relationships/hyperlink" Target="https://www.sec.gov/Archives/edgar/data/1650164/000165016422000089/tost-20220630xexhibit991.htm" TargetMode="External"/><Relationship Id="rId1288" Type="http://schemas.openxmlformats.org/officeDocument/2006/relationships/hyperlink" Target="https://www.sec.gov/Archives/edgar/data/1650164/000165016424000381/tost-20240930xexhibit991.htm" TargetMode="External"/><Relationship Id="rId297" Type="http://schemas.openxmlformats.org/officeDocument/2006/relationships/hyperlink" Target="https://www.sec.gov/Archives/edgar/data/1650164/000165016426000057/tost-20251231.htm" TargetMode="External"/><Relationship Id="rId518" Type="http://schemas.openxmlformats.org/officeDocument/2006/relationships/hyperlink" Target="https://www.sec.gov/Archives/edgar/data/1650164/000165016423000305/tost-20230630.htm" TargetMode="External"/><Relationship Id="rId725" Type="http://schemas.openxmlformats.org/officeDocument/2006/relationships/hyperlink" Target="https://www.sec.gov/Archives/edgar/data/1650164/000165016425000341/tost-20250930.htm" TargetMode="External"/><Relationship Id="rId932" Type="http://schemas.openxmlformats.org/officeDocument/2006/relationships/hyperlink" Target="https://www.sec.gov/Archives/edgar/data/1650164/000165016422000092/tost-20220630.htm" TargetMode="External"/><Relationship Id="rId1148" Type="http://schemas.openxmlformats.org/officeDocument/2006/relationships/hyperlink" Target="https://www.sec.gov/Archives/edgar/data/1650164/000165016426000162/tost-20260630xexhibit991.htm" TargetMode="External"/><Relationship Id="rId1355" Type="http://schemas.openxmlformats.org/officeDocument/2006/relationships/hyperlink" Target="https://www.sec.gov/Archives/edgar/data/1650164/000165016426000162/tost-20260630xexhibit991.htm" TargetMode="External"/><Relationship Id="rId157" Type="http://schemas.openxmlformats.org/officeDocument/2006/relationships/hyperlink" Target="https://www.sec.gov/Archives/edgar/data/1650164/000165016422000142/tost-20220930.htm" TargetMode="External"/><Relationship Id="rId364" Type="http://schemas.openxmlformats.org/officeDocument/2006/relationships/hyperlink" Target="https://www.sec.gov/Archives/edgar/data/1650164/000165016426000164/tost-20260630.htm" TargetMode="External"/><Relationship Id="rId1008" Type="http://schemas.openxmlformats.org/officeDocument/2006/relationships/hyperlink" Target="https://www.sec.gov/Archives/edgar/data/1650164/000165016424000175/tost-20240331xexhibit991.htm" TargetMode="External"/><Relationship Id="rId1215" Type="http://schemas.openxmlformats.org/officeDocument/2006/relationships/hyperlink" Target="https://www.sec.gov/Archives/edgar/data/1650164/000165016421000017/exhibit991.htm" TargetMode="External"/><Relationship Id="rId61" Type="http://schemas.openxmlformats.org/officeDocument/2006/relationships/hyperlink" Target="https://www.sec.gov/Archives/edgar/data/1650164/000165016423000369/tost-20230930.htm" TargetMode="External"/><Relationship Id="rId571" Type="http://schemas.openxmlformats.org/officeDocument/2006/relationships/hyperlink" Target="https://www.sec.gov/Archives/edgar/data/1650164/000165016424000084/tost-20231231.htm" TargetMode="External"/><Relationship Id="rId669" Type="http://schemas.openxmlformats.org/officeDocument/2006/relationships/hyperlink" Target="https://www.sec.gov/Archives/edgar/data/1650164/000165016422000009/tost-20211231.htm" TargetMode="External"/><Relationship Id="rId876" Type="http://schemas.openxmlformats.org/officeDocument/2006/relationships/hyperlink" Target="https://www.sec.gov/Archives/edgar/data/1650164/000165016423000305/tost-20230630.htm" TargetMode="External"/><Relationship Id="rId1299" Type="http://schemas.openxmlformats.org/officeDocument/2006/relationships/hyperlink" Target="https://www.sec.gov/Archives/edgar/data/1650164/000165016422000004/earningsrelease.htm" TargetMode="External"/><Relationship Id="rId19" Type="http://schemas.openxmlformats.org/officeDocument/2006/relationships/hyperlink" Target="https://www.sec.gov/Archives/edgar/data/1650164/000165016425000341/tost-20250930.htm" TargetMode="External"/><Relationship Id="rId224" Type="http://schemas.openxmlformats.org/officeDocument/2006/relationships/hyperlink" Target="https://www.sec.gov/Archives/edgar/data/1650164/000165016426000114/tost-20260331.htm" TargetMode="External"/><Relationship Id="rId431" Type="http://schemas.openxmlformats.org/officeDocument/2006/relationships/hyperlink" Target="https://www.sec.gov/Archives/edgar/data/1650164/000165016424000283/tost-20240630.htm" TargetMode="External"/><Relationship Id="rId529" Type="http://schemas.openxmlformats.org/officeDocument/2006/relationships/hyperlink" Target="https://www.sec.gov/Archives/edgar/data/1650164/000165016426000164/tost-20260630.htm" TargetMode="External"/><Relationship Id="rId736" Type="http://schemas.openxmlformats.org/officeDocument/2006/relationships/hyperlink" Target="https://www.sec.gov/Archives/edgar/data/1650164/000165016423000305/tost-20230630.htm" TargetMode="External"/><Relationship Id="rId1061" Type="http://schemas.openxmlformats.org/officeDocument/2006/relationships/hyperlink" Target="https://www.sec.gov/Archives/edgar/data/1650164/000165016424000381/tost-20240930xexhibit991.htm" TargetMode="External"/><Relationship Id="rId1159" Type="http://schemas.openxmlformats.org/officeDocument/2006/relationships/hyperlink" Target="https://www.sec.gov/Archives/edgar/data/1650164/000165016424000381/tost-20240930xexhibit991.htm" TargetMode="External"/><Relationship Id="rId1366" Type="http://schemas.openxmlformats.org/officeDocument/2006/relationships/hyperlink" Target="https://www.sec.gov/Archives/edgar/data/1650164/000165016425000288/tost-20250630xexhibit991.htm" TargetMode="External"/><Relationship Id="rId168" Type="http://schemas.openxmlformats.org/officeDocument/2006/relationships/hyperlink" Target="https://www.sec.gov/Archives/edgar/data/1650164/000165016425000341/tost-20250930.htm" TargetMode="External"/><Relationship Id="rId943" Type="http://schemas.openxmlformats.org/officeDocument/2006/relationships/hyperlink" Target="https://www.sec.gov/Archives/edgar/data/1650164/000165016425000177/tost-20250331.htm" TargetMode="External"/><Relationship Id="rId1019" Type="http://schemas.openxmlformats.org/officeDocument/2006/relationships/hyperlink" Target="https://www.sec.gov/Archives/edgar/data/1650164/000165016422000004/earningsrelease.htm" TargetMode="External"/><Relationship Id="rId72" Type="http://schemas.openxmlformats.org/officeDocument/2006/relationships/hyperlink" Target="https://www.sec.gov/Archives/edgar/data/1650164/000165016425000341/tost-20250930.htm" TargetMode="External"/><Relationship Id="rId375" Type="http://schemas.openxmlformats.org/officeDocument/2006/relationships/hyperlink" Target="https://www.sec.gov/Archives/edgar/data/1650164/000165016422000142/tost-20220930.htm" TargetMode="External"/><Relationship Id="rId582" Type="http://schemas.openxmlformats.org/officeDocument/2006/relationships/hyperlink" Target="https://www.sec.gov/Archives/edgar/data/1650164/000165016424000383/tost-20240930.htm" TargetMode="External"/><Relationship Id="rId803" Type="http://schemas.openxmlformats.org/officeDocument/2006/relationships/hyperlink" Target="https://www.sec.gov/Archives/edgar/data/1650164/000165016425000177/tost-20250331.htm" TargetMode="External"/><Relationship Id="rId1226" Type="http://schemas.openxmlformats.org/officeDocument/2006/relationships/hyperlink" Target="https://www.sec.gov/Archives/edgar/data/1650164/000165016423000050/tost-20221231xexhibit991.htm" TargetMode="External"/><Relationship Id="rId3" Type="http://schemas.openxmlformats.org/officeDocument/2006/relationships/hyperlink" Target="https://www.sec.gov/Archives/edgar/data/1650164/000165016425000072/tost-20241231.htm" TargetMode="External"/><Relationship Id="rId235" Type="http://schemas.openxmlformats.org/officeDocument/2006/relationships/hyperlink" Target="https://www.sec.gov/Archives/edgar/data/1650164/000165016423000369/tost-20230930.htm" TargetMode="External"/><Relationship Id="rId442" Type="http://schemas.openxmlformats.org/officeDocument/2006/relationships/hyperlink" Target="https://www.sec.gov/Archives/edgar/data/1650164/000165016426000114/tost-20260331.htm" TargetMode="External"/><Relationship Id="rId887" Type="http://schemas.openxmlformats.org/officeDocument/2006/relationships/hyperlink" Target="https://www.sec.gov/Archives/edgar/data/1650164/000165016426000114/tost-20260331.htm" TargetMode="External"/><Relationship Id="rId1072" Type="http://schemas.openxmlformats.org/officeDocument/2006/relationships/hyperlink" Target="https://www.sec.gov/Archives/edgar/data/1650164/000165016422000004/earningsrelease.htm" TargetMode="External"/><Relationship Id="rId302" Type="http://schemas.openxmlformats.org/officeDocument/2006/relationships/hyperlink" Target="https://www.sec.gov/Archives/edgar/data/1650164/000165016423000305/tost-20230630.htm" TargetMode="External"/><Relationship Id="rId747" Type="http://schemas.openxmlformats.org/officeDocument/2006/relationships/hyperlink" Target="https://www.sec.gov/Archives/edgar/data/1650164/000165016426000114/tost-20260331.htm" TargetMode="External"/><Relationship Id="rId954" Type="http://schemas.openxmlformats.org/officeDocument/2006/relationships/hyperlink" Target="https://www.sec.gov/Archives/edgar/data/1650164/000165016426000057/tost-20251231.htm" TargetMode="External"/><Relationship Id="rId1377" Type="http://schemas.openxmlformats.org/officeDocument/2006/relationships/hyperlink" Target="https://data.bls.gov/timeseries/CUUR0000SEFV" TargetMode="External"/><Relationship Id="rId83" Type="http://schemas.openxmlformats.org/officeDocument/2006/relationships/hyperlink" Target="https://www.sec.gov/Archives/edgar/data/1650164/000165016423000168/tost-20230331.htm" TargetMode="External"/><Relationship Id="rId179" Type="http://schemas.openxmlformats.org/officeDocument/2006/relationships/hyperlink" Target="https://www.sec.gov/Archives/edgar/data/1650164/000165016426000057/tost-20251231.htm" TargetMode="External"/><Relationship Id="rId386" Type="http://schemas.openxmlformats.org/officeDocument/2006/relationships/hyperlink" Target="https://www.sec.gov/Archives/edgar/data/1650164/000165016425000341/tost-20250930.htm" TargetMode="External"/><Relationship Id="rId593" Type="http://schemas.openxmlformats.org/officeDocument/2006/relationships/hyperlink" Target="https://www.sec.gov/Archives/edgar/data/1650164/000165016425000072/tost-20241231.htm" TargetMode="External"/><Relationship Id="rId607" Type="http://schemas.openxmlformats.org/officeDocument/2006/relationships/hyperlink" Target="https://www.sec.gov/Archives/edgar/data/1650164/000165016425000341/tost-20250930.htm" TargetMode="External"/><Relationship Id="rId814" Type="http://schemas.openxmlformats.org/officeDocument/2006/relationships/hyperlink" Target="https://www.sec.gov/Archives/edgar/data/1650164/000165016425000072/tost-20241231.htm" TargetMode="External"/><Relationship Id="rId1237" Type="http://schemas.openxmlformats.org/officeDocument/2006/relationships/hyperlink" Target="https://www.sec.gov/Archives/edgar/data/1650164/000165016425000175/tost-20250331xexhibit991.htm" TargetMode="External"/><Relationship Id="rId246" Type="http://schemas.openxmlformats.org/officeDocument/2006/relationships/hyperlink" Target="https://www.sec.gov/Archives/edgar/data/1650164/000165016426000164/tost-20260630.htm" TargetMode="External"/><Relationship Id="rId453" Type="http://schemas.openxmlformats.org/officeDocument/2006/relationships/hyperlink" Target="https://www.sec.gov/Archives/edgar/data/1650164/000165016423000369/tost-20230930.htm" TargetMode="External"/><Relationship Id="rId660" Type="http://schemas.openxmlformats.org/officeDocument/2006/relationships/hyperlink" Target="https://www.sec.gov/Archives/edgar/data/1650164/000165016424000283/tost-20240630.htm" TargetMode="External"/><Relationship Id="rId898" Type="http://schemas.openxmlformats.org/officeDocument/2006/relationships/hyperlink" Target="https://www.sec.gov/Archives/edgar/data/1650164/000165016425000072/tost-20241231.htm" TargetMode="External"/><Relationship Id="rId1083" Type="http://schemas.openxmlformats.org/officeDocument/2006/relationships/hyperlink" Target="https://www.sec.gov/Archives/edgar/data/1650164/000165016423000167/tost-20230331xexhibit991.htm" TargetMode="External"/><Relationship Id="rId1290" Type="http://schemas.openxmlformats.org/officeDocument/2006/relationships/hyperlink" Target="https://www.sec.gov/Archives/edgar/data/1650164/000165016425000066/tost-20241231xexhibit991.htm" TargetMode="External"/><Relationship Id="rId1304" Type="http://schemas.openxmlformats.org/officeDocument/2006/relationships/hyperlink" Target="https://www.sec.gov/Archives/edgar/data/1650164/000165016422000004/earningsrelease.htm" TargetMode="External"/><Relationship Id="rId106" Type="http://schemas.openxmlformats.org/officeDocument/2006/relationships/hyperlink" Target="https://www.sec.gov/Archives/edgar/data/1650164/000165016426000057/tost-20251231.htm" TargetMode="External"/><Relationship Id="rId313" Type="http://schemas.openxmlformats.org/officeDocument/2006/relationships/hyperlink" Target="https://www.sec.gov/Archives/edgar/data/1650164/000165016426000114/tost-20260331.htm" TargetMode="External"/><Relationship Id="rId758" Type="http://schemas.openxmlformats.org/officeDocument/2006/relationships/hyperlink" Target="https://www.sec.gov/Archives/edgar/data/1650164/000165016425000072/tost-20241231.htm" TargetMode="External"/><Relationship Id="rId965" Type="http://schemas.openxmlformats.org/officeDocument/2006/relationships/hyperlink" Target="https://www.sec.gov/Archives/edgar/data/1650164/000165016425000341/tost-20250930.htm" TargetMode="External"/><Relationship Id="rId1150" Type="http://schemas.openxmlformats.org/officeDocument/2006/relationships/hyperlink" Target="https://www.sec.gov/Archives/edgar/data/1650164/000165016426000113/tost-20260331xexhibit991.htm" TargetMode="External"/><Relationship Id="rId1388" Type="http://schemas.openxmlformats.org/officeDocument/2006/relationships/hyperlink" Target="https://data.bls.gov/timeseries/CUUR0000SEFV" TargetMode="External"/><Relationship Id="rId10" Type="http://schemas.openxmlformats.org/officeDocument/2006/relationships/hyperlink" Target="https://www.sec.gov/Archives/edgar/data/1650164/000165016423000369/tost-20230930.htm" TargetMode="External"/><Relationship Id="rId94" Type="http://schemas.openxmlformats.org/officeDocument/2006/relationships/hyperlink" Target="https://www.sec.gov/Archives/edgar/data/1650164/000165016425000341/tost-20250930.htm" TargetMode="External"/><Relationship Id="rId397" Type="http://schemas.openxmlformats.org/officeDocument/2006/relationships/hyperlink" Target="https://www.sec.gov/Archives/edgar/data/1650164/000165016426000057/tost-20251231.htm" TargetMode="External"/><Relationship Id="rId520" Type="http://schemas.openxmlformats.org/officeDocument/2006/relationships/hyperlink" Target="https://www.sec.gov/Archives/edgar/data/1650164/000165016423000369/tost-20230930.htm" TargetMode="External"/><Relationship Id="rId618" Type="http://schemas.openxmlformats.org/officeDocument/2006/relationships/hyperlink" Target="https://www.sec.gov/Archives/edgar/data/1650164/000165016426000057/tost-20251231.htm" TargetMode="External"/><Relationship Id="rId825" Type="http://schemas.openxmlformats.org/officeDocument/2006/relationships/hyperlink" Target="https://www.sec.gov/Archives/edgar/data/1650164/000165016425000341/tost-20250930.htm" TargetMode="External"/><Relationship Id="rId1248" Type="http://schemas.openxmlformats.org/officeDocument/2006/relationships/hyperlink" Target="https://www.sec.gov/Archives/edgar/data/1650164/000165016424000069/tost-20231231xexhibit991.htm" TargetMode="External"/><Relationship Id="rId257" Type="http://schemas.openxmlformats.org/officeDocument/2006/relationships/hyperlink" Target="https://www.sec.gov/Archives/edgar/data/1650164/000165016422000142/tost-20220930.htm" TargetMode="External"/><Relationship Id="rId464" Type="http://schemas.openxmlformats.org/officeDocument/2006/relationships/hyperlink" Target="https://www.sec.gov/Archives/edgar/data/1650164/000165016426000164/tost-20260630.htm" TargetMode="External"/><Relationship Id="rId1010" Type="http://schemas.openxmlformats.org/officeDocument/2006/relationships/hyperlink" Target="https://www.sec.gov/Archives/edgar/data/1650164/000165016424000381/tost-20240930xexhibit991.htm" TargetMode="External"/><Relationship Id="rId1094" Type="http://schemas.openxmlformats.org/officeDocument/2006/relationships/hyperlink" Target="https://www.sec.gov/Archives/edgar/data/1650164/000165016425000288/tost-20250630xexhibit991.htm" TargetMode="External"/><Relationship Id="rId1108" Type="http://schemas.openxmlformats.org/officeDocument/2006/relationships/hyperlink" Target="https://www.sec.gov/Archives/edgar/data/1650164/000165016424000175/tost-20240331xexhibit991.htm" TargetMode="External"/><Relationship Id="rId1315" Type="http://schemas.openxmlformats.org/officeDocument/2006/relationships/hyperlink" Target="https://www.sec.gov/Archives/edgar/data/1650164/000165016424000175/tost-20240331xexhibit991.htm" TargetMode="External"/><Relationship Id="rId117" Type="http://schemas.openxmlformats.org/officeDocument/2006/relationships/hyperlink" Target="https://www.sec.gov/Archives/edgar/data/1650164/000165016425000290/tost-20250630.htm" TargetMode="External"/><Relationship Id="rId671" Type="http://schemas.openxmlformats.org/officeDocument/2006/relationships/hyperlink" Target="https://www.sec.gov/Archives/edgar/data/1650164/000165016422000031/tost-20220331.htm" TargetMode="External"/><Relationship Id="rId769" Type="http://schemas.openxmlformats.org/officeDocument/2006/relationships/hyperlink" Target="https://www.sec.gov/Archives/edgar/data/1650164/000165016422000009/tost-20211231.htm" TargetMode="External"/><Relationship Id="rId976" Type="http://schemas.openxmlformats.org/officeDocument/2006/relationships/hyperlink" Target="https://www.sec.gov/Archives/edgar/data/1650164/000165016424000084/tost-20231231.htm" TargetMode="External"/><Relationship Id="rId1399" Type="http://schemas.openxmlformats.org/officeDocument/2006/relationships/hyperlink" Target="https://data.bls.gov/timeseries/CUUR0000SEFV" TargetMode="External"/><Relationship Id="rId324" Type="http://schemas.openxmlformats.org/officeDocument/2006/relationships/hyperlink" Target="https://www.sec.gov/Archives/edgar/data/1650164/000165016426000057/tost-20251231.htm" TargetMode="External"/><Relationship Id="rId531" Type="http://schemas.openxmlformats.org/officeDocument/2006/relationships/hyperlink" Target="https://www.sec.gov/Archives/edgar/data/1650164/000165016426000114/tost-20260331.htm" TargetMode="External"/><Relationship Id="rId629" Type="http://schemas.openxmlformats.org/officeDocument/2006/relationships/hyperlink" Target="https://www.sec.gov/Archives/edgar/data/1650164/000165016423000069/tost-20221231.htm" TargetMode="External"/><Relationship Id="rId1161" Type="http://schemas.openxmlformats.org/officeDocument/2006/relationships/hyperlink" Target="https://www.sec.gov/Archives/edgar/data/1650164/000165016425000175/tost-20250331xexhibit991.htm" TargetMode="External"/><Relationship Id="rId1259" Type="http://schemas.openxmlformats.org/officeDocument/2006/relationships/hyperlink" Target="https://www.sec.gov/Archives/edgar/data/1650164/000165016426000050/tost-20251231xexhibit991.htm" TargetMode="External"/><Relationship Id="rId836" Type="http://schemas.openxmlformats.org/officeDocument/2006/relationships/hyperlink" Target="https://www.sec.gov/Archives/edgar/data/1650164/000165016423000305/tost-20230630.htm" TargetMode="External"/><Relationship Id="rId1021" Type="http://schemas.openxmlformats.org/officeDocument/2006/relationships/hyperlink" Target="https://www.sec.gov/Archives/edgar/data/1650164/000165016422000089/tost-20220630xexhibit991.htm" TargetMode="External"/><Relationship Id="rId1119" Type="http://schemas.openxmlformats.org/officeDocument/2006/relationships/hyperlink" Target="https://www.sec.gov/Archives/edgar/data/1650164/000165016425000334/tost-20250930xexhibit991.htm" TargetMode="External"/><Relationship Id="rId903" Type="http://schemas.openxmlformats.org/officeDocument/2006/relationships/hyperlink" Target="https://www.sec.gov/Archives/edgar/data/1650164/000165016425000177/tost-20250331.htm" TargetMode="External"/><Relationship Id="rId1326" Type="http://schemas.openxmlformats.org/officeDocument/2006/relationships/hyperlink" Target="https://www.sec.gov/Archives/edgar/data/1650164/000165016426000162/tost-20260630xexhibit991.htm" TargetMode="External"/><Relationship Id="rId32" Type="http://schemas.openxmlformats.org/officeDocument/2006/relationships/hyperlink" Target="https://www.sec.gov/Archives/edgar/data/1650164/000165016422000142/tost-20220930.htm" TargetMode="External"/><Relationship Id="rId181" Type="http://schemas.openxmlformats.org/officeDocument/2006/relationships/hyperlink" Target="https://www.sec.gov/Archives/edgar/data/1650164/000165016426000057/tost-20251231.htm" TargetMode="External"/><Relationship Id="rId279" Type="http://schemas.openxmlformats.org/officeDocument/2006/relationships/hyperlink" Target="https://www.sec.gov/Archives/edgar/data/1650164/000165016426000057/tost-20251231.htm" TargetMode="External"/><Relationship Id="rId486" Type="http://schemas.openxmlformats.org/officeDocument/2006/relationships/hyperlink" Target="https://www.sec.gov/Archives/edgar/data/1650164/000165016423000069/tost-20221231.htm" TargetMode="External"/><Relationship Id="rId693" Type="http://schemas.openxmlformats.org/officeDocument/2006/relationships/hyperlink" Target="https://www.sec.gov/Archives/edgar/data/1650164/000165016422000142/tost-20220930.htm" TargetMode="External"/><Relationship Id="rId139" Type="http://schemas.openxmlformats.org/officeDocument/2006/relationships/hyperlink" Target="https://www.sec.gov/Archives/edgar/data/1650164/000165016424000383/tost-20240930.htm" TargetMode="External"/><Relationship Id="rId346" Type="http://schemas.openxmlformats.org/officeDocument/2006/relationships/hyperlink" Target="https://www.sec.gov/Archives/edgar/data/1650164/000165016425000072/tost-20241231.htm" TargetMode="External"/><Relationship Id="rId553" Type="http://schemas.openxmlformats.org/officeDocument/2006/relationships/hyperlink" Target="https://www.sec.gov/Archives/edgar/data/1650164/000165016426000164/tost-20260630.htm" TargetMode="External"/><Relationship Id="rId760" Type="http://schemas.openxmlformats.org/officeDocument/2006/relationships/hyperlink" Target="https://www.sec.gov/Archives/edgar/data/1650164/000165016424000283/tost-20240630.htm" TargetMode="External"/><Relationship Id="rId998" Type="http://schemas.openxmlformats.org/officeDocument/2006/relationships/hyperlink" Target="https://www.sec.gov/Archives/edgar/data/1650164/000165016422000027/tost-20220331xexhibit991.htm" TargetMode="External"/><Relationship Id="rId1183" Type="http://schemas.openxmlformats.org/officeDocument/2006/relationships/hyperlink" Target="https://www.sec.gov/Archives/edgar/data/1650164/000165016425000175/tost-20250331xexhibit991.htm" TargetMode="External"/><Relationship Id="rId1390" Type="http://schemas.openxmlformats.org/officeDocument/2006/relationships/hyperlink" Target="https://data.bls.gov/timeseries/CUUR0000SEFV" TargetMode="External"/><Relationship Id="rId206" Type="http://schemas.openxmlformats.org/officeDocument/2006/relationships/hyperlink" Target="https://www.sec.gov/Archives/edgar/data/1650164/000165016426000057/tost-20251231.htm" TargetMode="External"/><Relationship Id="rId413" Type="http://schemas.openxmlformats.org/officeDocument/2006/relationships/hyperlink" Target="https://www.sec.gov/Archives/edgar/data/1650164/000165016426000114/tost-20260331.htm" TargetMode="External"/><Relationship Id="rId858" Type="http://schemas.openxmlformats.org/officeDocument/2006/relationships/hyperlink" Target="https://www.sec.gov/Archives/edgar/data/1650164/000165016425000072/tost-20241231.htm" TargetMode="External"/><Relationship Id="rId1043" Type="http://schemas.openxmlformats.org/officeDocument/2006/relationships/hyperlink" Target="https://www.sec.gov/Archives/edgar/data/1650164/000165016422000004/earningsrelease.htm" TargetMode="External"/><Relationship Id="rId620" Type="http://schemas.openxmlformats.org/officeDocument/2006/relationships/hyperlink" Target="https://www.sec.gov/Archives/edgar/data/1650164/000165016425000290/tost-20250630.htm" TargetMode="External"/><Relationship Id="rId718" Type="http://schemas.openxmlformats.org/officeDocument/2006/relationships/hyperlink" Target="https://www.sec.gov/Archives/edgar/data/1650164/000165016426000057/tost-20251231.htm" TargetMode="External"/><Relationship Id="rId925" Type="http://schemas.openxmlformats.org/officeDocument/2006/relationships/hyperlink" Target="https://www.sec.gov/Archives/edgar/data/1650164/000165016425000341/tost-20250930.htm" TargetMode="External"/><Relationship Id="rId1250" Type="http://schemas.openxmlformats.org/officeDocument/2006/relationships/hyperlink" Target="https://www.sec.gov/Archives/edgar/data/1650164/000165016424000175/tost-20240331xexhibit991.htm" TargetMode="External"/><Relationship Id="rId1348" Type="http://schemas.openxmlformats.org/officeDocument/2006/relationships/hyperlink" Target="https://www.sec.gov/Archives/edgar/data/1650164/000165016425000066/tost-20241231xexhibit991.htm" TargetMode="External"/><Relationship Id="rId1110" Type="http://schemas.openxmlformats.org/officeDocument/2006/relationships/hyperlink" Target="https://www.sec.gov/Archives/edgar/data/1650164/000165016424000381/tost-20240930xexhibit991.htm" TargetMode="External"/><Relationship Id="rId1208" Type="http://schemas.openxmlformats.org/officeDocument/2006/relationships/hyperlink" Target="https://www.sec.gov/Archives/edgar/data/1650164/000165016425000066/tost-20241231xexhibit991.htm" TargetMode="External"/><Relationship Id="rId1415" Type="http://schemas.openxmlformats.org/officeDocument/2006/relationships/hyperlink" Target="https://www.sec.gov/Archives/edgar/data/1650164/000119312521279379/d166297d424b4.htm" TargetMode="External"/><Relationship Id="rId54" Type="http://schemas.openxmlformats.org/officeDocument/2006/relationships/hyperlink" Target="https://www.sec.gov/Archives/edgar/data/1650164/000165016426000057/tost-20251231.htm" TargetMode="External"/><Relationship Id="rId270" Type="http://schemas.openxmlformats.org/officeDocument/2006/relationships/hyperlink" Target="https://www.sec.gov/Archives/edgar/data/1650164/000165016426000114/tost-20260331.htm" TargetMode="External"/><Relationship Id="rId130" Type="http://schemas.openxmlformats.org/officeDocument/2006/relationships/hyperlink" Target="https://www.sec.gov/Archives/edgar/data/1650164/000165016426000057/tost-20251231.htm" TargetMode="External"/><Relationship Id="rId368" Type="http://schemas.openxmlformats.org/officeDocument/2006/relationships/hyperlink" Target="https://www.sec.gov/Archives/edgar/data/1650164/000165016426000164/tost-20260630.htm" TargetMode="External"/><Relationship Id="rId575" Type="http://schemas.openxmlformats.org/officeDocument/2006/relationships/hyperlink" Target="https://www.sec.gov/Archives/edgar/data/1650164/000165016426000057/tost-20251231.htm" TargetMode="External"/><Relationship Id="rId782" Type="http://schemas.openxmlformats.org/officeDocument/2006/relationships/hyperlink" Target="https://www.sec.gov/Archives/edgar/data/1650164/000165016426000057/tost-20251231.htm" TargetMode="External"/><Relationship Id="rId228" Type="http://schemas.openxmlformats.org/officeDocument/2006/relationships/hyperlink" Target="https://www.sec.gov/Archives/edgar/data/1650164/000165016425000072/tost-20241231.htm" TargetMode="External"/><Relationship Id="rId435" Type="http://schemas.openxmlformats.org/officeDocument/2006/relationships/hyperlink" Target="https://www.sec.gov/Archives/edgar/data/1650164/000165016425000290/tost-20250630.htm" TargetMode="External"/><Relationship Id="rId642" Type="http://schemas.openxmlformats.org/officeDocument/2006/relationships/hyperlink" Target="https://www.sec.gov/Archives/edgar/data/1650164/000165016426000057/tost-20251231.htm" TargetMode="External"/><Relationship Id="rId1065" Type="http://schemas.openxmlformats.org/officeDocument/2006/relationships/hyperlink" Target="https://www.sec.gov/Archives/edgar/data/1650164/000165016425000288/tost-20250630xexhibit991.htm" TargetMode="External"/><Relationship Id="rId1272" Type="http://schemas.openxmlformats.org/officeDocument/2006/relationships/hyperlink" Target="https://www.sec.gov/Archives/edgar/data/1650164/000165016425000066/tost-20241231xexhibit991.htm" TargetMode="External"/><Relationship Id="rId502" Type="http://schemas.openxmlformats.org/officeDocument/2006/relationships/hyperlink" Target="https://www.sec.gov/Archives/edgar/data/1650164/000165016426000114/tost-20260331.htm" TargetMode="External"/><Relationship Id="rId947" Type="http://schemas.openxmlformats.org/officeDocument/2006/relationships/hyperlink" Target="https://www.sec.gov/Archives/edgar/data/1650164/000165016426000114/tost-20260331.htm" TargetMode="External"/><Relationship Id="rId1132" Type="http://schemas.openxmlformats.org/officeDocument/2006/relationships/hyperlink" Target="https://www.sec.gov/Archives/edgar/data/1650164/000165016424000282/tost-20240630xexhibit991.htm" TargetMode="External"/><Relationship Id="rId76" Type="http://schemas.openxmlformats.org/officeDocument/2006/relationships/hyperlink" Target="https://www.sec.gov/Archives/edgar/data/1650164/000165016423000069/tost-20221231.htm" TargetMode="External"/><Relationship Id="rId807" Type="http://schemas.openxmlformats.org/officeDocument/2006/relationships/hyperlink" Target="https://www.sec.gov/Archives/edgar/data/1650164/000165016426000114/tost-20260331.htm" TargetMode="External"/><Relationship Id="rId292" Type="http://schemas.openxmlformats.org/officeDocument/2006/relationships/hyperlink" Target="https://www.sec.gov/Archives/edgar/data/1650164/000165016426000114/tost-20260331.htm" TargetMode="External"/><Relationship Id="rId597" Type="http://schemas.openxmlformats.org/officeDocument/2006/relationships/hyperlink" Target="https://www.sec.gov/Archives/edgar/data/1650164/000165016422000142/tost-20220930.htm" TargetMode="External"/><Relationship Id="rId152" Type="http://schemas.openxmlformats.org/officeDocument/2006/relationships/hyperlink" Target="https://www.sec.gov/Archives/edgar/data/1650164/000165016424000084/tost-20231231.htm" TargetMode="External"/><Relationship Id="rId457" Type="http://schemas.openxmlformats.org/officeDocument/2006/relationships/hyperlink" Target="https://www.sec.gov/Archives/edgar/data/1650164/000165016425000177/tost-20250331.htm" TargetMode="External"/><Relationship Id="rId1087" Type="http://schemas.openxmlformats.org/officeDocument/2006/relationships/hyperlink" Target="https://www.sec.gov/Archives/edgar/data/1650164/000165016424000069/tost-20231231xexhibit991.htm" TargetMode="External"/><Relationship Id="rId1294" Type="http://schemas.openxmlformats.org/officeDocument/2006/relationships/hyperlink" Target="https://www.sec.gov/Archives/edgar/data/1650164/000165016426000050/tost-20251231xexhibit991.htm" TargetMode="External"/><Relationship Id="rId664" Type="http://schemas.openxmlformats.org/officeDocument/2006/relationships/hyperlink" Target="https://www.sec.gov/Archives/edgar/data/1650164/000165016425000290/tost-20250630.htm" TargetMode="External"/><Relationship Id="rId871" Type="http://schemas.openxmlformats.org/officeDocument/2006/relationships/hyperlink" Target="https://www.sec.gov/Archives/edgar/data/1650164/000165016422000031/tost-20220331.htm" TargetMode="External"/><Relationship Id="rId969" Type="http://schemas.openxmlformats.org/officeDocument/2006/relationships/hyperlink" Target="https://www.sec.gov/Archives/edgar/data/1650164/000165016423000069/tost-20221231.htm" TargetMode="External"/><Relationship Id="rId317" Type="http://schemas.openxmlformats.org/officeDocument/2006/relationships/hyperlink" Target="https://www.sec.gov/Archives/edgar/data/1650164/000165016426000114/tost-20260331.htm" TargetMode="External"/><Relationship Id="rId524" Type="http://schemas.openxmlformats.org/officeDocument/2006/relationships/hyperlink" Target="https://www.sec.gov/Archives/edgar/data/1650164/000165016424000383/tost-20240930.htm" TargetMode="External"/><Relationship Id="rId731" Type="http://schemas.openxmlformats.org/officeDocument/2006/relationships/hyperlink" Target="https://www.sec.gov/Archives/edgar/data/1650164/000165016422000031/tost-20220331.htm" TargetMode="External"/><Relationship Id="rId1154" Type="http://schemas.openxmlformats.org/officeDocument/2006/relationships/hyperlink" Target="https://www.sec.gov/Archives/edgar/data/1650164/000165016424000282/tost-20240630xexhibit991.htm" TargetMode="External"/><Relationship Id="rId1361" Type="http://schemas.openxmlformats.org/officeDocument/2006/relationships/hyperlink" Target="https://www.sec.gov/Archives/edgar/data/1650164/000165016424000282/tost-20240630xexhibit991.htm" TargetMode="External"/><Relationship Id="rId98" Type="http://schemas.openxmlformats.org/officeDocument/2006/relationships/hyperlink" Target="https://www.sec.gov/Archives/edgar/data/1650164/000165016425000341/tost-20250930.htm" TargetMode="External"/><Relationship Id="rId829" Type="http://schemas.openxmlformats.org/officeDocument/2006/relationships/hyperlink" Target="https://www.sec.gov/Archives/edgar/data/1650164/000165016422000009/tost-20211231.htm" TargetMode="External"/><Relationship Id="rId1014" Type="http://schemas.openxmlformats.org/officeDocument/2006/relationships/hyperlink" Target="https://www.sec.gov/Archives/edgar/data/1650164/000165016425000334/tost-20250930xexhibit991.htm" TargetMode="External"/><Relationship Id="rId1221" Type="http://schemas.openxmlformats.org/officeDocument/2006/relationships/hyperlink" Target="https://www.sec.gov/Archives/edgar/data/1650164/000165016422000004/earningsrelease.htm" TargetMode="External"/><Relationship Id="rId1319" Type="http://schemas.openxmlformats.org/officeDocument/2006/relationships/hyperlink" Target="https://www.sec.gov/Archives/edgar/data/1650164/000165016425000066/tost-20241231xexhibit991.htm" TargetMode="External"/><Relationship Id="rId25" Type="http://schemas.openxmlformats.org/officeDocument/2006/relationships/hyperlink" Target="https://www.sec.gov/Archives/edgar/data/1650164/000165016426000164/tost-20260630.htm" TargetMode="External"/><Relationship Id="rId174" Type="http://schemas.openxmlformats.org/officeDocument/2006/relationships/hyperlink" Target="https://www.sec.gov/Archives/edgar/data/1650164/000165016426000114/tost-20260331.htm" TargetMode="External"/><Relationship Id="rId381" Type="http://schemas.openxmlformats.org/officeDocument/2006/relationships/hyperlink" Target="https://www.sec.gov/Archives/edgar/data/1650164/000165016424000283/tost-20240630.htm" TargetMode="External"/><Relationship Id="rId241" Type="http://schemas.openxmlformats.org/officeDocument/2006/relationships/hyperlink" Target="https://www.sec.gov/Archives/edgar/data/1650164/000165016425000177/tost-20250331.htm" TargetMode="External"/><Relationship Id="rId479" Type="http://schemas.openxmlformats.org/officeDocument/2006/relationships/hyperlink" Target="https://www.sec.gov/Archives/edgar/data/1650164/000165016425000290/tost-20250630.htm" TargetMode="External"/><Relationship Id="rId686" Type="http://schemas.openxmlformats.org/officeDocument/2006/relationships/hyperlink" Target="https://www.sec.gov/Archives/edgar/data/1650164/000165016426000164/tost-20260630.htm" TargetMode="External"/><Relationship Id="rId893" Type="http://schemas.openxmlformats.org/officeDocument/2006/relationships/hyperlink" Target="https://www.sec.gov/Archives/edgar/data/1650164/000165016422000142/tost-20220930.htm" TargetMode="External"/><Relationship Id="rId339" Type="http://schemas.openxmlformats.org/officeDocument/2006/relationships/hyperlink" Target="https://www.sec.gov/Archives/edgar/data/1650164/000165016426000164/tost-20260630.htm" TargetMode="External"/><Relationship Id="rId546" Type="http://schemas.openxmlformats.org/officeDocument/2006/relationships/hyperlink" Target="https://www.sec.gov/Archives/edgar/data/1650164/000165016425000177/tost-20250331.htm" TargetMode="External"/><Relationship Id="rId753" Type="http://schemas.openxmlformats.org/officeDocument/2006/relationships/hyperlink" Target="https://www.sec.gov/Archives/edgar/data/1650164/000165016422000142/tost-20220930.htm" TargetMode="External"/><Relationship Id="rId1176" Type="http://schemas.openxmlformats.org/officeDocument/2006/relationships/hyperlink" Target="https://www.sec.gov/Archives/edgar/data/1650164/000165016424000282/tost-20240630xexhibit991.htm" TargetMode="External"/><Relationship Id="rId1383" Type="http://schemas.openxmlformats.org/officeDocument/2006/relationships/hyperlink" Target="https://data.bls.gov/timeseries/CUUR0000SEFV" TargetMode="External"/><Relationship Id="rId101" Type="http://schemas.openxmlformats.org/officeDocument/2006/relationships/hyperlink" Target="https://www.sec.gov/Archives/edgar/data/1650164/000165016423000069/tost-20221231.htm" TargetMode="External"/><Relationship Id="rId406" Type="http://schemas.openxmlformats.org/officeDocument/2006/relationships/hyperlink" Target="https://www.sec.gov/Archives/edgar/data/1650164/000165016424000283/tost-20240630.htm" TargetMode="External"/><Relationship Id="rId960" Type="http://schemas.openxmlformats.org/officeDocument/2006/relationships/hyperlink" Target="https://www.sec.gov/Archives/edgar/data/1650164/000165016425000341/tost-20250930.htm" TargetMode="External"/><Relationship Id="rId1036" Type="http://schemas.openxmlformats.org/officeDocument/2006/relationships/hyperlink" Target="https://www.sec.gov/Archives/edgar/data/1650164/000165016425000175/tost-20250331xexhibit991.htm" TargetMode="External"/><Relationship Id="rId1243" Type="http://schemas.openxmlformats.org/officeDocument/2006/relationships/hyperlink" Target="https://www.sec.gov/Archives/edgar/data/1650164/000165016426000162/tost-20260630xexhibit991.htm" TargetMode="External"/><Relationship Id="rId613" Type="http://schemas.openxmlformats.org/officeDocument/2006/relationships/hyperlink" Target="https://www.sec.gov/Archives/edgar/data/1650164/000165016423000369/tost-20230930.htm" TargetMode="External"/><Relationship Id="rId820" Type="http://schemas.openxmlformats.org/officeDocument/2006/relationships/hyperlink" Target="https://www.sec.gov/Archives/edgar/data/1650164/000165016425000290/tost-20250630.htm" TargetMode="External"/><Relationship Id="rId918" Type="http://schemas.openxmlformats.org/officeDocument/2006/relationships/hyperlink" Target="https://www.sec.gov/Archives/edgar/data/1650164/000165016425000072/tost-20241231.htm" TargetMode="External"/><Relationship Id="rId1103" Type="http://schemas.openxmlformats.org/officeDocument/2006/relationships/hyperlink" Target="https://www.sec.gov/Archives/edgar/data/1650164/000165016423000368/tost-20230930xexhibit9911.htm" TargetMode="External"/><Relationship Id="rId1310" Type="http://schemas.openxmlformats.org/officeDocument/2006/relationships/hyperlink" Target="https://www.sec.gov/Archives/edgar/data/1650164/000165016423000167/tost-20230331xexhibit991.htm" TargetMode="External"/><Relationship Id="rId1408" Type="http://schemas.openxmlformats.org/officeDocument/2006/relationships/hyperlink" Target="https://s28.q4cdn.com/141746709/files/doc_financials/2026/q2/Q2-26-Consolidated-Prepared-Remarks-2-1.pdf" TargetMode="External"/><Relationship Id="rId47" Type="http://schemas.openxmlformats.org/officeDocument/2006/relationships/hyperlink" Target="https://www.sec.gov/Archives/edgar/data/1650164/000165016425000341/tost-20250930.htm" TargetMode="External"/><Relationship Id="rId196" Type="http://schemas.openxmlformats.org/officeDocument/2006/relationships/hyperlink" Target="https://www.sec.gov/Archives/edgar/data/1650164/000165016426000164/tost-20260630.htm" TargetMode="External"/><Relationship Id="rId263" Type="http://schemas.openxmlformats.org/officeDocument/2006/relationships/hyperlink" Target="https://www.sec.gov/Archives/edgar/data/1650164/000165016424000283/tost-20240630.htm" TargetMode="External"/><Relationship Id="rId470" Type="http://schemas.openxmlformats.org/officeDocument/2006/relationships/hyperlink" Target="https://www.sec.gov/Archives/edgar/data/1650164/000165016426000057/tost-20251231.htm" TargetMode="External"/><Relationship Id="rId123" Type="http://schemas.openxmlformats.org/officeDocument/2006/relationships/hyperlink" Target="https://www.sec.gov/Archives/edgar/data/1650164/000165016425000341/tost-20250930.htm" TargetMode="External"/><Relationship Id="rId330" Type="http://schemas.openxmlformats.org/officeDocument/2006/relationships/hyperlink" Target="https://www.sec.gov/Archives/edgar/data/1650164/000165016424000177/tost-20240331.htm" TargetMode="External"/><Relationship Id="rId568" Type="http://schemas.openxmlformats.org/officeDocument/2006/relationships/hyperlink" Target="https://www.sec.gov/Archives/edgar/data/1650164/000165016426000114/tost-20260331.htm" TargetMode="External"/><Relationship Id="rId775" Type="http://schemas.openxmlformats.org/officeDocument/2006/relationships/hyperlink" Target="https://www.sec.gov/Archives/edgar/data/1650164/000165016423000168/tost-20230331.htm" TargetMode="External"/><Relationship Id="rId982" Type="http://schemas.openxmlformats.org/officeDocument/2006/relationships/hyperlink" Target="https://www.sec.gov/Archives/edgar/data/1650164/000165016424000283/tost-20240630.htm" TargetMode="External"/><Relationship Id="rId1198" Type="http://schemas.openxmlformats.org/officeDocument/2006/relationships/hyperlink" Target="https://www.sec.gov/Archives/edgar/data/1650164/000165016422000092/tost-20220630.htm" TargetMode="External"/><Relationship Id="rId428" Type="http://schemas.openxmlformats.org/officeDocument/2006/relationships/hyperlink" Target="https://www.sec.gov/Archives/edgar/data/1650164/000165016423000369/tost-20230930.htm" TargetMode="External"/><Relationship Id="rId635" Type="http://schemas.openxmlformats.org/officeDocument/2006/relationships/hyperlink" Target="https://www.sec.gov/Archives/edgar/data/1650164/000165016424000177/tost-20240331.htm" TargetMode="External"/><Relationship Id="rId842" Type="http://schemas.openxmlformats.org/officeDocument/2006/relationships/hyperlink" Target="https://www.sec.gov/Archives/edgar/data/1650164/000165016426000057/tost-20251231.htm" TargetMode="External"/><Relationship Id="rId1058" Type="http://schemas.openxmlformats.org/officeDocument/2006/relationships/hyperlink" Target="https://www.sec.gov/Archives/edgar/data/1650164/000165016424000069/tost-20231231xexhibit991.htm" TargetMode="External"/><Relationship Id="rId1265" Type="http://schemas.openxmlformats.org/officeDocument/2006/relationships/hyperlink" Target="https://www.sec.gov/Archives/edgar/data/1650164/000165016424000381/tost-20240930xexhibit991.htm" TargetMode="External"/><Relationship Id="rId702" Type="http://schemas.openxmlformats.org/officeDocument/2006/relationships/hyperlink" Target="https://www.sec.gov/Archives/edgar/data/1650164/000165016426000057/tost-20251231.htm" TargetMode="External"/><Relationship Id="rId1125" Type="http://schemas.openxmlformats.org/officeDocument/2006/relationships/hyperlink" Target="https://www.sec.gov/Archives/edgar/data/1650164/000165016426000162/tost-20260630xexhibit991.htm" TargetMode="External"/><Relationship Id="rId1332" Type="http://schemas.openxmlformats.org/officeDocument/2006/relationships/hyperlink" Target="https://www.sec.gov/Archives/edgar/data/1650164/000165016422000004/earningsrelease.htm" TargetMode="External"/><Relationship Id="rId69" Type="http://schemas.openxmlformats.org/officeDocument/2006/relationships/hyperlink" Target="https://www.sec.gov/Archives/edgar/data/1650164/000165016425000341/tost-20250930.htm" TargetMode="External"/><Relationship Id="rId285" Type="http://schemas.openxmlformats.org/officeDocument/2006/relationships/hyperlink" Target="https://www.sec.gov/Archives/edgar/data/1650164/000165016425000290/tost-20250630.htm" TargetMode="External"/><Relationship Id="rId492" Type="http://schemas.openxmlformats.org/officeDocument/2006/relationships/hyperlink" Target="https://www.sec.gov/Archives/edgar/data/1650164/000165016422000142/tost-20220930.htm" TargetMode="External"/><Relationship Id="rId797" Type="http://schemas.openxmlformats.org/officeDocument/2006/relationships/hyperlink" Target="https://www.sec.gov/Archives/edgar/data/1650164/000165016423000369/tost-20230930.htm" TargetMode="External"/><Relationship Id="rId145" Type="http://schemas.openxmlformats.org/officeDocument/2006/relationships/hyperlink" Target="https://www.sec.gov/Archives/edgar/data/1650164/000165016426000114/tost-20260331.htm" TargetMode="External"/><Relationship Id="rId352" Type="http://schemas.openxmlformats.org/officeDocument/2006/relationships/hyperlink" Target="https://www.sec.gov/Archives/edgar/data/1650164/000165016423000305/tost-20230630.htm" TargetMode="External"/><Relationship Id="rId1287" Type="http://schemas.openxmlformats.org/officeDocument/2006/relationships/hyperlink" Target="https://www.sec.gov/Archives/edgar/data/1650164/000165016424000282/tost-20240630xexhibit991.htm" TargetMode="External"/><Relationship Id="rId212" Type="http://schemas.openxmlformats.org/officeDocument/2006/relationships/hyperlink" Target="https://www.sec.gov/Archives/edgar/data/1650164/000165016424000177/tost-20240331.htm" TargetMode="External"/><Relationship Id="rId657" Type="http://schemas.openxmlformats.org/officeDocument/2006/relationships/hyperlink" Target="https://www.sec.gov/Archives/edgar/data/1650164/000165016423000369/tost-20230930.htm" TargetMode="External"/><Relationship Id="rId864" Type="http://schemas.openxmlformats.org/officeDocument/2006/relationships/hyperlink" Target="https://www.sec.gov/Archives/edgar/data/1650164/000165016425000290/tost-20250630.htm" TargetMode="External"/><Relationship Id="rId517" Type="http://schemas.openxmlformats.org/officeDocument/2006/relationships/hyperlink" Target="https://www.sec.gov/Archives/edgar/data/1650164/000165016423000168/tost-20230331.htm" TargetMode="External"/><Relationship Id="rId724" Type="http://schemas.openxmlformats.org/officeDocument/2006/relationships/hyperlink" Target="https://www.sec.gov/Archives/edgar/data/1650164/000165016426000164/tost-20260630.htm" TargetMode="External"/><Relationship Id="rId931" Type="http://schemas.openxmlformats.org/officeDocument/2006/relationships/hyperlink" Target="https://www.sec.gov/Archives/edgar/data/1650164/000165016422000031/tost-20220331.htm" TargetMode="External"/><Relationship Id="rId1147" Type="http://schemas.openxmlformats.org/officeDocument/2006/relationships/hyperlink" Target="https://www.sec.gov/Archives/edgar/data/1650164/000165016426000113/tost-20260331xexhibit991.htm" TargetMode="External"/><Relationship Id="rId1354" Type="http://schemas.openxmlformats.org/officeDocument/2006/relationships/hyperlink" Target="https://www.sec.gov/Archives/edgar/data/1650164/000165016426000113/tost-20260331xexhibit991.htm" TargetMode="External"/><Relationship Id="rId60" Type="http://schemas.openxmlformats.org/officeDocument/2006/relationships/hyperlink" Target="https://www.sec.gov/Archives/edgar/data/1650164/000165016423000369/tost-20230930.htm" TargetMode="External"/><Relationship Id="rId1007" Type="http://schemas.openxmlformats.org/officeDocument/2006/relationships/hyperlink" Target="https://www.sec.gov/Archives/edgar/data/1650164/000165016424000069/tost-20231231xexhibit991.htm" TargetMode="External"/><Relationship Id="rId1214" Type="http://schemas.openxmlformats.org/officeDocument/2006/relationships/hyperlink" Target="https://www.sec.gov/Archives/edgar/data/1650164/000165016426000162/tost-20260630xexhibit991.htm" TargetMode="External"/><Relationship Id="rId18" Type="http://schemas.openxmlformats.org/officeDocument/2006/relationships/hyperlink" Target="https://www.sec.gov/Archives/edgar/data/1650164/000165016425000341/tost-20250930.htm" TargetMode="External"/><Relationship Id="rId167" Type="http://schemas.openxmlformats.org/officeDocument/2006/relationships/hyperlink" Target="https://www.sec.gov/Archives/edgar/data/1650164/000165016425000290/tost-20250630.htm" TargetMode="External"/><Relationship Id="rId374" Type="http://schemas.openxmlformats.org/officeDocument/2006/relationships/hyperlink" Target="https://www.sec.gov/Archives/edgar/data/1650164/000165016426000057/tost-20251231.htm" TargetMode="External"/><Relationship Id="rId581" Type="http://schemas.openxmlformats.org/officeDocument/2006/relationships/hyperlink" Target="https://www.sec.gov/Archives/edgar/data/1650164/000165016424000283/tost-20240630.htm" TargetMode="External"/><Relationship Id="rId234" Type="http://schemas.openxmlformats.org/officeDocument/2006/relationships/hyperlink" Target="https://www.sec.gov/Archives/edgar/data/1650164/000165016423000305/tost-20230630.htm" TargetMode="External"/><Relationship Id="rId679" Type="http://schemas.openxmlformats.org/officeDocument/2006/relationships/hyperlink" Target="https://www.sec.gov/Archives/edgar/data/1650164/000165016424000177/tost-20240331.htm" TargetMode="External"/><Relationship Id="rId886" Type="http://schemas.openxmlformats.org/officeDocument/2006/relationships/hyperlink" Target="https://www.sec.gov/Archives/edgar/data/1650164/000165016426000164/tost-20260630.htm" TargetMode="External"/><Relationship Id="rId2" Type="http://schemas.openxmlformats.org/officeDocument/2006/relationships/hyperlink" Target="https://www.sec.gov/Archives/edgar/data/1650164/000165016424000084/tost-20231231.htm" TargetMode="External"/><Relationship Id="rId441" Type="http://schemas.openxmlformats.org/officeDocument/2006/relationships/hyperlink" Target="https://www.sec.gov/Archives/edgar/data/1650164/000165016425000341/tost-20250930.htm" TargetMode="External"/><Relationship Id="rId539" Type="http://schemas.openxmlformats.org/officeDocument/2006/relationships/hyperlink" Target="https://www.sec.gov/Archives/edgar/data/1650164/000165016422000142/tost-20220930.htm" TargetMode="External"/><Relationship Id="rId746" Type="http://schemas.openxmlformats.org/officeDocument/2006/relationships/hyperlink" Target="https://www.sec.gov/Archives/edgar/data/1650164/000165016426000164/tost-20260630.htm" TargetMode="External"/><Relationship Id="rId1071" Type="http://schemas.openxmlformats.org/officeDocument/2006/relationships/hyperlink" Target="https://www.sec.gov/Archives/edgar/data/1650164/000165016421000017/exhibit991.htm" TargetMode="External"/><Relationship Id="rId1169" Type="http://schemas.openxmlformats.org/officeDocument/2006/relationships/hyperlink" Target="https://www.sec.gov/Archives/edgar/data/1650164/000165016426000113/tost-20260331xexhibit991.htm" TargetMode="External"/><Relationship Id="rId1376" Type="http://schemas.openxmlformats.org/officeDocument/2006/relationships/hyperlink" Target="https://data.bls.gov/timeseries/CUUR0000SEFV" TargetMode="External"/><Relationship Id="rId301" Type="http://schemas.openxmlformats.org/officeDocument/2006/relationships/hyperlink" Target="https://www.sec.gov/Archives/edgar/data/1650164/000165016423000168/tost-20230331.htm" TargetMode="External"/><Relationship Id="rId953" Type="http://schemas.openxmlformats.org/officeDocument/2006/relationships/hyperlink" Target="https://www.sec.gov/Archives/edgar/data/1650164/000165016423000369/tost-20230930.htm" TargetMode="External"/><Relationship Id="rId1029" Type="http://schemas.openxmlformats.org/officeDocument/2006/relationships/hyperlink" Target="https://www.sec.gov/Archives/edgar/data/1650164/000165016423000304/tost-20230630xexhibit991.htm" TargetMode="External"/><Relationship Id="rId1236" Type="http://schemas.openxmlformats.org/officeDocument/2006/relationships/hyperlink" Target="https://www.sec.gov/Archives/edgar/data/1650164/000165016425000066/tost-20241231xexhibit991.htm" TargetMode="External"/><Relationship Id="rId82" Type="http://schemas.openxmlformats.org/officeDocument/2006/relationships/hyperlink" Target="https://www.sec.gov/Archives/edgar/data/1650164/000165016422000142/tost-20220930.htm" TargetMode="External"/><Relationship Id="rId606" Type="http://schemas.openxmlformats.org/officeDocument/2006/relationships/hyperlink" Target="https://www.sec.gov/Archives/edgar/data/1650164/000165016426000164/tost-20260630.htm" TargetMode="External"/><Relationship Id="rId813" Type="http://schemas.openxmlformats.org/officeDocument/2006/relationships/hyperlink" Target="https://www.sec.gov/Archives/edgar/data/1650164/000165016423000369/tost-20230930.htm" TargetMode="External"/><Relationship Id="rId1303" Type="http://schemas.openxmlformats.org/officeDocument/2006/relationships/hyperlink" Target="https://www.sec.gov/Archives/edgar/data/1650164/000165016422000004/earningsrelease.htm" TargetMode="External"/><Relationship Id="rId189" Type="http://schemas.openxmlformats.org/officeDocument/2006/relationships/hyperlink" Target="https://www.sec.gov/Archives/edgar/data/1650164/000165016424000383/tost-20240930.htm" TargetMode="External"/><Relationship Id="rId396" Type="http://schemas.openxmlformats.org/officeDocument/2006/relationships/hyperlink" Target="https://www.sec.gov/Archives/edgar/data/1650164/000165016425000072/tost-20241231.htm" TargetMode="External"/><Relationship Id="rId256" Type="http://schemas.openxmlformats.org/officeDocument/2006/relationships/hyperlink" Target="https://www.sec.gov/Archives/edgar/data/1650164/000165016426000057/tost-20251231.htm" TargetMode="External"/><Relationship Id="rId463" Type="http://schemas.openxmlformats.org/officeDocument/2006/relationships/hyperlink" Target="https://www.sec.gov/Archives/edgar/data/1650164/000165016426000114/tost-20260331.htm" TargetMode="External"/><Relationship Id="rId670" Type="http://schemas.openxmlformats.org/officeDocument/2006/relationships/hyperlink" Target="https://www.sec.gov/Archives/edgar/data/1650164/000165016423000069/tost-20221231.htm" TargetMode="External"/><Relationship Id="rId1093" Type="http://schemas.openxmlformats.org/officeDocument/2006/relationships/hyperlink" Target="https://www.sec.gov/Archives/edgar/data/1650164/000165016425000175/tost-20250331xexhibit991.htm" TargetMode="External"/><Relationship Id="rId116" Type="http://schemas.openxmlformats.org/officeDocument/2006/relationships/hyperlink" Target="https://www.sec.gov/Archives/edgar/data/1650164/000165016425000177/tost-20250331.htm" TargetMode="External"/><Relationship Id="rId323" Type="http://schemas.openxmlformats.org/officeDocument/2006/relationships/hyperlink" Target="https://www.sec.gov/Archives/edgar/data/1650164/000165016426000057/tost-20251231.htm" TargetMode="External"/><Relationship Id="rId530" Type="http://schemas.openxmlformats.org/officeDocument/2006/relationships/hyperlink" Target="https://www.sec.gov/Archives/edgar/data/1650164/000165016425000341/tost-20250930.htm" TargetMode="External"/><Relationship Id="rId768" Type="http://schemas.openxmlformats.org/officeDocument/2006/relationships/hyperlink" Target="https://www.sec.gov/Archives/edgar/data/1650164/000165016426000164/tost-20260630.htm" TargetMode="External"/><Relationship Id="rId975" Type="http://schemas.openxmlformats.org/officeDocument/2006/relationships/hyperlink" Target="https://www.sec.gov/Archives/edgar/data/1650164/000165016422000142/tost-20220930.htm" TargetMode="External"/><Relationship Id="rId1160" Type="http://schemas.openxmlformats.org/officeDocument/2006/relationships/hyperlink" Target="https://www.sec.gov/Archives/edgar/data/1650164/000165016425000066/tost-20241231xexhibit991.htm" TargetMode="External"/><Relationship Id="rId1398" Type="http://schemas.openxmlformats.org/officeDocument/2006/relationships/hyperlink" Target="https://data.bls.gov/timeseries/CUUR0000SEFV" TargetMode="External"/><Relationship Id="rId628" Type="http://schemas.openxmlformats.org/officeDocument/2006/relationships/hyperlink" Target="https://www.sec.gov/Archives/edgar/data/1650164/000165016426000164/tost-20260630.htm" TargetMode="External"/><Relationship Id="rId835" Type="http://schemas.openxmlformats.org/officeDocument/2006/relationships/hyperlink" Target="https://www.sec.gov/Archives/edgar/data/1650164/000165016423000168/tost-20230331.htm" TargetMode="External"/><Relationship Id="rId1258" Type="http://schemas.openxmlformats.org/officeDocument/2006/relationships/hyperlink" Target="https://www.sec.gov/Archives/edgar/data/1650164/000165016426000050/tost-20251231xexhibit991.htm" TargetMode="External"/><Relationship Id="rId1020" Type="http://schemas.openxmlformats.org/officeDocument/2006/relationships/hyperlink" Target="https://www.sec.gov/Archives/edgar/data/1650164/000165016422000027/tost-20220331xexhibit991.htm" TargetMode="External"/><Relationship Id="rId1118" Type="http://schemas.openxmlformats.org/officeDocument/2006/relationships/hyperlink" Target="https://www.sec.gov/Archives/edgar/data/1650164/000165016425000334/tost-20250930xexhibit991.htm" TargetMode="External"/><Relationship Id="rId1325" Type="http://schemas.openxmlformats.org/officeDocument/2006/relationships/hyperlink" Target="https://www.sec.gov/Archives/edgar/data/1650164/000165016426000113/tost-20260331xexhibit991.htm" TargetMode="External"/><Relationship Id="rId902" Type="http://schemas.openxmlformats.org/officeDocument/2006/relationships/hyperlink" Target="https://www.sec.gov/Archives/edgar/data/1650164/000165016426000057/tost-20251231.htm" TargetMode="External"/><Relationship Id="rId31" Type="http://schemas.openxmlformats.org/officeDocument/2006/relationships/hyperlink" Target="https://www.sec.gov/Archives/edgar/data/1650164/000165016426000057/tost-20251231.htm" TargetMode="External"/><Relationship Id="rId180" Type="http://schemas.openxmlformats.org/officeDocument/2006/relationships/hyperlink" Target="https://www.sec.gov/Archives/edgar/data/1650164/000165016426000057/tost-20251231.htm" TargetMode="External"/><Relationship Id="rId278" Type="http://schemas.openxmlformats.org/officeDocument/2006/relationships/hyperlink" Target="https://www.sec.gov/Archives/edgar/data/1650164/000165016426000057/tost-20251231.htm" TargetMode="External"/><Relationship Id="rId485" Type="http://schemas.openxmlformats.org/officeDocument/2006/relationships/hyperlink" Target="https://www.sec.gov/Archives/edgar/data/1650164/000165016426000164/tost-20260630.htm" TargetMode="External"/><Relationship Id="rId692" Type="http://schemas.openxmlformats.org/officeDocument/2006/relationships/hyperlink" Target="https://www.sec.gov/Archives/edgar/data/1650164/000165016422000092/tost-20220630.htm" TargetMode="External"/><Relationship Id="rId138" Type="http://schemas.openxmlformats.org/officeDocument/2006/relationships/hyperlink" Target="https://www.sec.gov/Archives/edgar/data/1650164/000165016424000283/tost-20240630.htm" TargetMode="External"/><Relationship Id="rId345" Type="http://schemas.openxmlformats.org/officeDocument/2006/relationships/hyperlink" Target="https://www.sec.gov/Archives/edgar/data/1650164/000165016424000084/tost-20231231.htm" TargetMode="External"/><Relationship Id="rId552" Type="http://schemas.openxmlformats.org/officeDocument/2006/relationships/hyperlink" Target="https://www.sec.gov/Archives/edgar/data/1650164/000165016426000114/tost-20260331.htm" TargetMode="External"/><Relationship Id="rId997" Type="http://schemas.openxmlformats.org/officeDocument/2006/relationships/hyperlink" Target="https://www.sec.gov/Archives/edgar/data/1650164/000165016422000004/earningsrelease.htm" TargetMode="External"/><Relationship Id="rId1182" Type="http://schemas.openxmlformats.org/officeDocument/2006/relationships/hyperlink" Target="https://www.sec.gov/Archives/edgar/data/1650164/000165016425000066/tost-20241231xexhibit991.htm" TargetMode="External"/><Relationship Id="rId205" Type="http://schemas.openxmlformats.org/officeDocument/2006/relationships/hyperlink" Target="https://www.sec.gov/Archives/edgar/data/1650164/000165016426000057/tost-20251231.htm" TargetMode="External"/><Relationship Id="rId412" Type="http://schemas.openxmlformats.org/officeDocument/2006/relationships/hyperlink" Target="https://www.sec.gov/Archives/edgar/data/1650164/000165016425000341/tost-20250930.htm" TargetMode="External"/><Relationship Id="rId857" Type="http://schemas.openxmlformats.org/officeDocument/2006/relationships/hyperlink" Target="https://www.sec.gov/Archives/edgar/data/1650164/000165016423000369/tost-20230930.htm" TargetMode="External"/><Relationship Id="rId1042" Type="http://schemas.openxmlformats.org/officeDocument/2006/relationships/hyperlink" Target="https://www.sec.gov/Archives/edgar/data/1650164/000165016421000017/exhibit991.htm" TargetMode="External"/><Relationship Id="rId717" Type="http://schemas.openxmlformats.org/officeDocument/2006/relationships/hyperlink" Target="https://www.sec.gov/Archives/edgar/data/1650164/000165016424000383/tost-20240930.htm" TargetMode="External"/><Relationship Id="rId924" Type="http://schemas.openxmlformats.org/officeDocument/2006/relationships/hyperlink" Target="https://www.sec.gov/Archives/edgar/data/1650164/000165016425000290/tost-20250630.htm" TargetMode="External"/><Relationship Id="rId1347" Type="http://schemas.openxmlformats.org/officeDocument/2006/relationships/hyperlink" Target="https://www.sec.gov/Archives/edgar/data/1650164/000165016425000066/tost-20241231xexhibit991.htm" TargetMode="External"/><Relationship Id="rId53" Type="http://schemas.openxmlformats.org/officeDocument/2006/relationships/hyperlink" Target="https://www.sec.gov/Archives/edgar/data/1650164/000165016425000072/tost-20241231.htm" TargetMode="External"/><Relationship Id="rId1207" Type="http://schemas.openxmlformats.org/officeDocument/2006/relationships/hyperlink" Target="https://www.sec.gov/Archives/edgar/data/1650164/000165016424000381/tost-20240930xexhibit991.htm" TargetMode="External"/><Relationship Id="rId1414" Type="http://schemas.openxmlformats.org/officeDocument/2006/relationships/hyperlink" Target="https://www.sec.gov/Archives/edgar/data/1650164/000119312521279379/d166297d424b4.htm" TargetMode="External"/><Relationship Id="rId367" Type="http://schemas.openxmlformats.org/officeDocument/2006/relationships/hyperlink" Target="https://www.sec.gov/Archives/edgar/data/1650164/000165016426000114/tost-20260331.htm" TargetMode="External"/><Relationship Id="rId574" Type="http://schemas.openxmlformats.org/officeDocument/2006/relationships/hyperlink" Target="https://www.sec.gov/Archives/edgar/data/1650164/000165016426000057/tost-20251231.htm" TargetMode="External"/><Relationship Id="rId227" Type="http://schemas.openxmlformats.org/officeDocument/2006/relationships/hyperlink" Target="https://www.sec.gov/Archives/edgar/data/1650164/000165016424000084/tost-20231231.htm" TargetMode="External"/><Relationship Id="rId781" Type="http://schemas.openxmlformats.org/officeDocument/2006/relationships/hyperlink" Target="https://www.sec.gov/Archives/edgar/data/1650164/000165016424000383/tost-20240930.htm" TargetMode="External"/><Relationship Id="rId879" Type="http://schemas.openxmlformats.org/officeDocument/2006/relationships/hyperlink" Target="https://www.sec.gov/Archives/edgar/data/1650164/000165016424000177/tost-20240331.htm" TargetMode="External"/><Relationship Id="rId434" Type="http://schemas.openxmlformats.org/officeDocument/2006/relationships/hyperlink" Target="https://www.sec.gov/Archives/edgar/data/1650164/000165016425000177/tost-20250331.htm" TargetMode="External"/><Relationship Id="rId641" Type="http://schemas.openxmlformats.org/officeDocument/2006/relationships/hyperlink" Target="https://www.sec.gov/Archives/edgar/data/1650164/000165016425000341/tost-20250930.htm" TargetMode="External"/><Relationship Id="rId739" Type="http://schemas.openxmlformats.org/officeDocument/2006/relationships/hyperlink" Target="https://www.sec.gov/Archives/edgar/data/1650164/000165016424000177/tost-20240331.htm" TargetMode="External"/><Relationship Id="rId1064" Type="http://schemas.openxmlformats.org/officeDocument/2006/relationships/hyperlink" Target="https://www.sec.gov/Archives/edgar/data/1650164/000165016425000175/tost-20250331xexhibit991.htm" TargetMode="External"/><Relationship Id="rId1271" Type="http://schemas.openxmlformats.org/officeDocument/2006/relationships/hyperlink" Target="https://www.sec.gov/Archives/edgar/data/1650164/000165016425000066/tost-20241231xexhibit991.htm" TargetMode="External"/><Relationship Id="rId1369" Type="http://schemas.openxmlformats.org/officeDocument/2006/relationships/hyperlink" Target="https://www.sec.gov/Archives/edgar/data/1650164/000165016426000050/tost-20251231xexhibit991.htm" TargetMode="External"/><Relationship Id="rId501" Type="http://schemas.openxmlformats.org/officeDocument/2006/relationships/hyperlink" Target="https://www.sec.gov/Archives/edgar/data/1650164/000165016425000341/tost-20250930.htm" TargetMode="External"/><Relationship Id="rId946" Type="http://schemas.openxmlformats.org/officeDocument/2006/relationships/hyperlink" Target="https://www.sec.gov/Archives/edgar/data/1650164/000165016426000164/tost-20260630.htm" TargetMode="External"/><Relationship Id="rId1131" Type="http://schemas.openxmlformats.org/officeDocument/2006/relationships/hyperlink" Target="https://www.sec.gov/Archives/edgar/data/1650164/000165016424000175/tost-20240331xexhibit991.htm" TargetMode="External"/><Relationship Id="rId1229" Type="http://schemas.openxmlformats.org/officeDocument/2006/relationships/hyperlink" Target="https://www.sec.gov/Archives/edgar/data/1650164/000165016423000368/tost-20230930xexhibit9911.htm" TargetMode="External"/><Relationship Id="rId75" Type="http://schemas.openxmlformats.org/officeDocument/2006/relationships/hyperlink" Target="https://www.sec.gov/Archives/edgar/data/1650164/000165016426000164/tost-20260630.htm" TargetMode="External"/><Relationship Id="rId806" Type="http://schemas.openxmlformats.org/officeDocument/2006/relationships/hyperlink" Target="https://www.sec.gov/Archives/edgar/data/1650164/000165016426000164/tost-20260630.htm" TargetMode="External"/><Relationship Id="rId291" Type="http://schemas.openxmlformats.org/officeDocument/2006/relationships/hyperlink" Target="https://www.sec.gov/Archives/edgar/data/1650164/000165016425000341/tost-20250930.htm" TargetMode="External"/><Relationship Id="rId151" Type="http://schemas.openxmlformats.org/officeDocument/2006/relationships/hyperlink" Target="https://www.sec.gov/Archives/edgar/data/1650164/000165016423000069/tost-20221231.htm" TargetMode="External"/><Relationship Id="rId389" Type="http://schemas.openxmlformats.org/officeDocument/2006/relationships/hyperlink" Target="https://www.sec.gov/Archives/edgar/data/1650164/000165016426000164/tost-20260630.htm" TargetMode="External"/><Relationship Id="rId596" Type="http://schemas.openxmlformats.org/officeDocument/2006/relationships/hyperlink" Target="https://www.sec.gov/Archives/edgar/data/1650164/000165016426000057/tost-20251231.htm" TargetMode="External"/><Relationship Id="rId249" Type="http://schemas.openxmlformats.org/officeDocument/2006/relationships/hyperlink" Target="https://www.sec.gov/Archives/edgar/data/1650164/000165016426000114/tost-20260331.htm" TargetMode="External"/><Relationship Id="rId456" Type="http://schemas.openxmlformats.org/officeDocument/2006/relationships/hyperlink" Target="https://www.sec.gov/Archives/edgar/data/1650164/000165016424000383/tost-20240930.htm" TargetMode="External"/><Relationship Id="rId663" Type="http://schemas.openxmlformats.org/officeDocument/2006/relationships/hyperlink" Target="https://www.sec.gov/Archives/edgar/data/1650164/000165016425000177/tost-20250331.htm" TargetMode="External"/><Relationship Id="rId870" Type="http://schemas.openxmlformats.org/officeDocument/2006/relationships/hyperlink" Target="https://www.sec.gov/Archives/edgar/data/1650164/000165016423000069/tost-20221231.htm" TargetMode="External"/><Relationship Id="rId1086" Type="http://schemas.openxmlformats.org/officeDocument/2006/relationships/hyperlink" Target="https://www.sec.gov/Archives/edgar/data/1650164/000165016424000069/tost-20231231xexhibit991.htm" TargetMode="External"/><Relationship Id="rId1293" Type="http://schemas.openxmlformats.org/officeDocument/2006/relationships/hyperlink" Target="https://www.sec.gov/Archives/edgar/data/1650164/000165016425000334/tost-20250930xexhibit991.htm" TargetMode="External"/><Relationship Id="rId109" Type="http://schemas.openxmlformats.org/officeDocument/2006/relationships/hyperlink" Target="https://www.sec.gov/Archives/edgar/data/1650164/000165016423000305/tost-20230630.htm" TargetMode="External"/><Relationship Id="rId316" Type="http://schemas.openxmlformats.org/officeDocument/2006/relationships/hyperlink" Target="https://www.sec.gov/Archives/edgar/data/1650164/000165016425000341/tost-20250930.htm" TargetMode="External"/><Relationship Id="rId523" Type="http://schemas.openxmlformats.org/officeDocument/2006/relationships/hyperlink" Target="https://www.sec.gov/Archives/edgar/data/1650164/000165016424000283/tost-20240630.htm" TargetMode="External"/><Relationship Id="rId968" Type="http://schemas.openxmlformats.org/officeDocument/2006/relationships/hyperlink" Target="https://www.sec.gov/Archives/edgar/data/1650164/000165016426000164/tost-20260630.htm" TargetMode="External"/><Relationship Id="rId1153" Type="http://schemas.openxmlformats.org/officeDocument/2006/relationships/hyperlink" Target="https://www.sec.gov/Archives/edgar/data/1650164/000165016424000175/tost-20240331xexhibit991.htm" TargetMode="External"/><Relationship Id="rId97" Type="http://schemas.openxmlformats.org/officeDocument/2006/relationships/hyperlink" Target="https://www.sec.gov/Archives/edgar/data/1650164/000165016425000341/tost-20250930.htm" TargetMode="External"/><Relationship Id="rId730" Type="http://schemas.openxmlformats.org/officeDocument/2006/relationships/hyperlink" Target="https://www.sec.gov/Archives/edgar/data/1650164/000165016423000069/tost-20221231.htm" TargetMode="External"/><Relationship Id="rId828" Type="http://schemas.openxmlformats.org/officeDocument/2006/relationships/hyperlink" Target="https://www.sec.gov/Archives/edgar/data/1650164/000165016426000164/tost-20260630.htm" TargetMode="External"/><Relationship Id="rId1013" Type="http://schemas.openxmlformats.org/officeDocument/2006/relationships/hyperlink" Target="https://www.sec.gov/Archives/edgar/data/1650164/000165016425000288/tost-20250630xexhibit991.htm" TargetMode="External"/><Relationship Id="rId1360" Type="http://schemas.openxmlformats.org/officeDocument/2006/relationships/hyperlink" Target="https://www.sec.gov/Archives/edgar/data/1650164/000165016424000175/tost-20240331xexhibit991.htm" TargetMode="External"/><Relationship Id="rId1220" Type="http://schemas.openxmlformats.org/officeDocument/2006/relationships/hyperlink" Target="https://www.sec.gov/Archives/edgar/data/1650164/000165016422000004/earningsrelease.htm" TargetMode="External"/><Relationship Id="rId1318" Type="http://schemas.openxmlformats.org/officeDocument/2006/relationships/hyperlink" Target="https://www.sec.gov/Archives/edgar/data/1650164/000165016425000066/tost-20241231xexhibit991.htm" TargetMode="External"/><Relationship Id="rId24" Type="http://schemas.openxmlformats.org/officeDocument/2006/relationships/hyperlink" Target="https://www.sec.gov/Archives/edgar/data/1650164/000165016426000114/tost-20260331.htm" TargetMode="External"/><Relationship Id="rId173" Type="http://schemas.openxmlformats.org/officeDocument/2006/relationships/hyperlink" Target="https://www.sec.gov/Archives/edgar/data/1650164/000165016425000341/tost-20250930.htm" TargetMode="External"/><Relationship Id="rId380" Type="http://schemas.openxmlformats.org/officeDocument/2006/relationships/hyperlink" Target="https://www.sec.gov/Archives/edgar/data/1650164/000165016424000177/tost-20240331.htm" TargetMode="External"/><Relationship Id="rId240" Type="http://schemas.openxmlformats.org/officeDocument/2006/relationships/hyperlink" Target="https://www.sec.gov/Archives/edgar/data/1650164/000165016424000383/tost-20240930.htm" TargetMode="External"/><Relationship Id="rId478" Type="http://schemas.openxmlformats.org/officeDocument/2006/relationships/hyperlink" Target="https://www.sec.gov/Archives/edgar/data/1650164/000165016425000177/tost-20250331.htm" TargetMode="External"/><Relationship Id="rId685" Type="http://schemas.openxmlformats.org/officeDocument/2006/relationships/hyperlink" Target="https://www.sec.gov/Archives/edgar/data/1650164/000165016425000341/tost-20250930.htm" TargetMode="External"/><Relationship Id="rId892" Type="http://schemas.openxmlformats.org/officeDocument/2006/relationships/hyperlink" Target="https://www.sec.gov/Archives/edgar/data/1650164/000165016422000092/tost-20220630.htm" TargetMode="External"/><Relationship Id="rId100" Type="http://schemas.openxmlformats.org/officeDocument/2006/relationships/hyperlink" Target="https://www.sec.gov/Archives/edgar/data/1650164/000165016426000164/tost-20260630.htm" TargetMode="External"/><Relationship Id="rId338" Type="http://schemas.openxmlformats.org/officeDocument/2006/relationships/hyperlink" Target="https://www.sec.gov/Archives/edgar/data/1650164/000165016426000114/tost-20260331.htm" TargetMode="External"/><Relationship Id="rId545" Type="http://schemas.openxmlformats.org/officeDocument/2006/relationships/hyperlink" Target="https://www.sec.gov/Archives/edgar/data/1650164/000165016424000383/tost-20240930.htm" TargetMode="External"/><Relationship Id="rId752" Type="http://schemas.openxmlformats.org/officeDocument/2006/relationships/hyperlink" Target="https://www.sec.gov/Archives/edgar/data/1650164/000165016422000092/tost-20220630.htm" TargetMode="External"/><Relationship Id="rId1175" Type="http://schemas.openxmlformats.org/officeDocument/2006/relationships/hyperlink" Target="https://www.sec.gov/Archives/edgar/data/1650164/000165016424000175/tost-20240331xexhibit991.htm" TargetMode="External"/><Relationship Id="rId1382" Type="http://schemas.openxmlformats.org/officeDocument/2006/relationships/hyperlink" Target="https://data.bls.gov/timeseries/CUUR0000SEFV" TargetMode="External"/><Relationship Id="rId405" Type="http://schemas.openxmlformats.org/officeDocument/2006/relationships/hyperlink" Target="https://www.sec.gov/Archives/edgar/data/1650164/000165016424000177/tost-20240331.htm" TargetMode="External"/><Relationship Id="rId612" Type="http://schemas.openxmlformats.org/officeDocument/2006/relationships/hyperlink" Target="https://www.sec.gov/Archives/edgar/data/1650164/000165016423000305/tost-20230630.htm" TargetMode="External"/><Relationship Id="rId1035" Type="http://schemas.openxmlformats.org/officeDocument/2006/relationships/hyperlink" Target="https://www.sec.gov/Archives/edgar/data/1650164/000165016425000066/tost-20241231xexhibit991.htm" TargetMode="External"/><Relationship Id="rId1242" Type="http://schemas.openxmlformats.org/officeDocument/2006/relationships/hyperlink" Target="https://www.sec.gov/Archives/edgar/data/1650164/000165016426000113/tost-20260331xexhibit991.htm" TargetMode="External"/><Relationship Id="rId917" Type="http://schemas.openxmlformats.org/officeDocument/2006/relationships/hyperlink" Target="https://www.sec.gov/Archives/edgar/data/1650164/000165016423000369/tost-20230930.htm" TargetMode="External"/><Relationship Id="rId1102" Type="http://schemas.openxmlformats.org/officeDocument/2006/relationships/hyperlink" Target="https://www.sec.gov/Archives/edgar/data/1650164/000165016423000368/tost-20230930xexhibit9911.htm" TargetMode="External"/><Relationship Id="rId46" Type="http://schemas.openxmlformats.org/officeDocument/2006/relationships/hyperlink" Target="https://www.sec.gov/Archives/edgar/data/1650164/000165016426000164/tost-20260630.htm" TargetMode="External"/><Relationship Id="rId1407" Type="http://schemas.openxmlformats.org/officeDocument/2006/relationships/hyperlink" Target="https://s28.q4cdn.com/141746709/files/doc_financials/2025/q4/Q4-25-Prepared-Remarks.pdf" TargetMode="External"/><Relationship Id="rId195" Type="http://schemas.openxmlformats.org/officeDocument/2006/relationships/hyperlink" Target="https://www.sec.gov/Archives/edgar/data/1650164/000165016426000114/tost-20260331.htm" TargetMode="External"/><Relationship Id="rId262" Type="http://schemas.openxmlformats.org/officeDocument/2006/relationships/hyperlink" Target="https://www.sec.gov/Archives/edgar/data/1650164/000165016424000177/tost-20240331.htm" TargetMode="External"/><Relationship Id="rId567" Type="http://schemas.openxmlformats.org/officeDocument/2006/relationships/hyperlink" Target="https://www.sec.gov/Archives/edgar/data/1650164/000165016425000341/tost-20250930.htm" TargetMode="External"/><Relationship Id="rId1197" Type="http://schemas.openxmlformats.org/officeDocument/2006/relationships/hyperlink" Target="https://www.sec.gov/Archives/edgar/data/1650164/000165016422000027/tost-20220331xexhibit991.htm" TargetMode="External"/><Relationship Id="rId122" Type="http://schemas.openxmlformats.org/officeDocument/2006/relationships/hyperlink" Target="https://www.sec.gov/Archives/edgar/data/1650164/000165016425000341/tost-20250930.htm" TargetMode="External"/><Relationship Id="rId774" Type="http://schemas.openxmlformats.org/officeDocument/2006/relationships/hyperlink" Target="https://www.sec.gov/Archives/edgar/data/1650164/000165016424000084/tost-20231231.htm" TargetMode="External"/><Relationship Id="rId981" Type="http://schemas.openxmlformats.org/officeDocument/2006/relationships/hyperlink" Target="https://www.sec.gov/Archives/edgar/data/1650164/000165016424000177/tost-20240331.htm" TargetMode="External"/><Relationship Id="rId1057" Type="http://schemas.openxmlformats.org/officeDocument/2006/relationships/hyperlink" Target="https://www.sec.gov/Archives/edgar/data/1650164/000165016424000069/tost-20231231xexhibit991.htm" TargetMode="External"/><Relationship Id="rId427" Type="http://schemas.openxmlformats.org/officeDocument/2006/relationships/hyperlink" Target="https://www.sec.gov/Archives/edgar/data/1650164/000165016423000305/tost-20230630.htm" TargetMode="External"/><Relationship Id="rId634" Type="http://schemas.openxmlformats.org/officeDocument/2006/relationships/hyperlink" Target="https://www.sec.gov/Archives/edgar/data/1650164/000165016425000072/tost-20241231.htm" TargetMode="External"/><Relationship Id="rId841" Type="http://schemas.openxmlformats.org/officeDocument/2006/relationships/hyperlink" Target="https://www.sec.gov/Archives/edgar/data/1650164/000165016424000383/tost-20240930.htm" TargetMode="External"/><Relationship Id="rId1264" Type="http://schemas.openxmlformats.org/officeDocument/2006/relationships/hyperlink" Target="https://www.sec.gov/Archives/edgar/data/1650164/000165016424000282/tost-20240630xexhibit991.htm" TargetMode="External"/><Relationship Id="rId701" Type="http://schemas.openxmlformats.org/officeDocument/2006/relationships/hyperlink" Target="https://www.sec.gov/Archives/edgar/data/1650164/000165016424000383/tost-20240930.htm" TargetMode="External"/><Relationship Id="rId939" Type="http://schemas.openxmlformats.org/officeDocument/2006/relationships/hyperlink" Target="https://www.sec.gov/Archives/edgar/data/1650164/000165016424000177/tost-20240331.htm" TargetMode="External"/><Relationship Id="rId1124" Type="http://schemas.openxmlformats.org/officeDocument/2006/relationships/hyperlink" Target="https://www.sec.gov/Archives/edgar/data/1650164/000165016426000113/tost-20260331xexhibit991.htm" TargetMode="External"/><Relationship Id="rId1331" Type="http://schemas.openxmlformats.org/officeDocument/2006/relationships/hyperlink" Target="https://www.sec.gov/Archives/edgar/data/1650164/000165016421000017/exhibit991.htm" TargetMode="External"/><Relationship Id="rId68" Type="http://schemas.openxmlformats.org/officeDocument/2006/relationships/hyperlink" Target="https://www.sec.gov/Archives/edgar/data/1650164/000165016425000341/tost-20250930.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2A44"/>
    <pageSetUpPr fitToPage="1"/>
  </sheetPr>
  <dimension ref="B1:C40"/>
  <sheetViews>
    <sheetView showGridLines="0" tabSelected="1" zoomScale="90" workbookViewId="0"/>
  </sheetViews>
  <sheetFormatPr defaultRowHeight="14.25" x14ac:dyDescent="0.45"/>
  <cols>
    <col min="1" max="1" width="3" customWidth="1"/>
    <col min="2" max="2" width="30" customWidth="1"/>
    <col min="3" max="3" width="110" customWidth="1"/>
  </cols>
  <sheetData>
    <row r="1" spans="2:3" ht="18" x14ac:dyDescent="0.55000000000000004">
      <c r="B1" s="1" t="s">
        <v>0</v>
      </c>
    </row>
    <row r="2" spans="2:3" x14ac:dyDescent="0.45">
      <c r="B2" s="2" t="s">
        <v>1</v>
      </c>
    </row>
    <row r="3" spans="2:3" x14ac:dyDescent="0.45">
      <c r="B3" s="3"/>
    </row>
    <row r="4" spans="2:3" x14ac:dyDescent="0.45">
      <c r="B4" s="4" t="s">
        <v>2</v>
      </c>
      <c r="C4" s="5" t="s">
        <v>3</v>
      </c>
    </row>
    <row r="5" spans="2:3" ht="26.25" x14ac:dyDescent="0.45">
      <c r="B5" s="4" t="s">
        <v>4</v>
      </c>
      <c r="C5" s="5" t="s">
        <v>5</v>
      </c>
    </row>
    <row r="6" spans="2:3" x14ac:dyDescent="0.45">
      <c r="B6" s="4" t="s">
        <v>6</v>
      </c>
      <c r="C6" s="5" t="s">
        <v>7</v>
      </c>
    </row>
    <row r="7" spans="2:3" ht="39.4" x14ac:dyDescent="0.45">
      <c r="B7" s="4" t="s">
        <v>8</v>
      </c>
      <c r="C7" s="5" t="s">
        <v>9</v>
      </c>
    </row>
    <row r="8" spans="2:3" ht="26.25" x14ac:dyDescent="0.45">
      <c r="B8" s="4" t="s">
        <v>10</v>
      </c>
      <c r="C8" s="5" t="s">
        <v>11</v>
      </c>
    </row>
    <row r="9" spans="2:3" ht="26.25" x14ac:dyDescent="0.45">
      <c r="B9" s="4" t="s">
        <v>12</v>
      </c>
      <c r="C9" s="5" t="s">
        <v>13</v>
      </c>
    </row>
    <row r="10" spans="2:3" x14ac:dyDescent="0.45">
      <c r="B10" s="4" t="s">
        <v>14</v>
      </c>
      <c r="C10" s="6" t="str">
        <f>"Model checks: "&amp;CheckStatus&amp;"   |   Active scenario: "&amp;ScenarioName</f>
        <v>Model checks: ALL OK   |   Active scenario: Base</v>
      </c>
    </row>
    <row r="11" spans="2:3" x14ac:dyDescent="0.45">
      <c r="B11" s="4" t="s">
        <v>15</v>
      </c>
      <c r="C11" s="5" t="s">
        <v>16</v>
      </c>
    </row>
    <row r="12" spans="2:3" ht="26.25" x14ac:dyDescent="0.45">
      <c r="B12" s="4" t="s">
        <v>17</v>
      </c>
      <c r="C12" s="5" t="s">
        <v>18</v>
      </c>
    </row>
    <row r="14" spans="2:3" x14ac:dyDescent="0.45">
      <c r="B14" s="7" t="s">
        <v>19</v>
      </c>
      <c r="C14" s="7" t="s">
        <v>20</v>
      </c>
    </row>
    <row r="15" spans="2:3" x14ac:dyDescent="0.45">
      <c r="B15" s="8" t="s">
        <v>21</v>
      </c>
      <c r="C15" s="3" t="s">
        <v>22</v>
      </c>
    </row>
    <row r="16" spans="2:3" x14ac:dyDescent="0.45">
      <c r="B16" s="8" t="s">
        <v>23</v>
      </c>
      <c r="C16" s="3" t="s">
        <v>24</v>
      </c>
    </row>
    <row r="17" spans="2:3" x14ac:dyDescent="0.45">
      <c r="B17" s="8" t="s">
        <v>25</v>
      </c>
      <c r="C17" s="3" t="s">
        <v>26</v>
      </c>
    </row>
    <row r="18" spans="2:3" x14ac:dyDescent="0.45">
      <c r="B18" s="8" t="s">
        <v>27</v>
      </c>
      <c r="C18" s="3" t="s">
        <v>28</v>
      </c>
    </row>
    <row r="19" spans="2:3" x14ac:dyDescent="0.45">
      <c r="B19" s="8" t="s">
        <v>29</v>
      </c>
      <c r="C19" s="3" t="s">
        <v>30</v>
      </c>
    </row>
    <row r="20" spans="2:3" x14ac:dyDescent="0.45">
      <c r="B20" s="8" t="s">
        <v>31</v>
      </c>
      <c r="C20" s="3" t="s">
        <v>32</v>
      </c>
    </row>
    <row r="21" spans="2:3" x14ac:dyDescent="0.45">
      <c r="B21" s="8" t="s">
        <v>33</v>
      </c>
      <c r="C21" s="3" t="s">
        <v>34</v>
      </c>
    </row>
    <row r="22" spans="2:3" x14ac:dyDescent="0.45">
      <c r="B22" s="8" t="s">
        <v>35</v>
      </c>
      <c r="C22" s="3" t="s">
        <v>36</v>
      </c>
    </row>
    <row r="23" spans="2:3" x14ac:dyDescent="0.45">
      <c r="B23" s="8" t="s">
        <v>37</v>
      </c>
      <c r="C23" s="3" t="s">
        <v>38</v>
      </c>
    </row>
    <row r="24" spans="2:3" x14ac:dyDescent="0.45">
      <c r="B24" s="8" t="s">
        <v>39</v>
      </c>
      <c r="C24" s="3" t="s">
        <v>40</v>
      </c>
    </row>
    <row r="25" spans="2:3" x14ac:dyDescent="0.45">
      <c r="B25" s="8" t="s">
        <v>41</v>
      </c>
      <c r="C25" s="3" t="s">
        <v>42</v>
      </c>
    </row>
    <row r="26" spans="2:3" x14ac:dyDescent="0.45">
      <c r="B26" s="8" t="s">
        <v>43</v>
      </c>
      <c r="C26" s="3" t="s">
        <v>44</v>
      </c>
    </row>
    <row r="27" spans="2:3" x14ac:dyDescent="0.45">
      <c r="B27" s="8" t="s">
        <v>45</v>
      </c>
      <c r="C27" s="3" t="s">
        <v>46</v>
      </c>
    </row>
    <row r="28" spans="2:3" x14ac:dyDescent="0.45">
      <c r="B28" s="8" t="s">
        <v>47</v>
      </c>
      <c r="C28" s="3" t="s">
        <v>48</v>
      </c>
    </row>
    <row r="29" spans="2:3" x14ac:dyDescent="0.45">
      <c r="B29" s="8" t="s">
        <v>49</v>
      </c>
      <c r="C29" s="3" t="s">
        <v>50</v>
      </c>
    </row>
    <row r="31" spans="2:3" x14ac:dyDescent="0.45">
      <c r="B31" s="4" t="s">
        <v>51</v>
      </c>
    </row>
    <row r="32" spans="2:3" x14ac:dyDescent="0.45">
      <c r="C32" s="9" t="s">
        <v>52</v>
      </c>
    </row>
    <row r="33" spans="3:3" ht="26.65" x14ac:dyDescent="0.45">
      <c r="C33" s="9" t="s">
        <v>53</v>
      </c>
    </row>
    <row r="34" spans="3:3" x14ac:dyDescent="0.45">
      <c r="C34" s="9" t="s">
        <v>54</v>
      </c>
    </row>
    <row r="35" spans="3:3" ht="26.65" x14ac:dyDescent="0.45">
      <c r="C35" s="9" t="s">
        <v>55</v>
      </c>
    </row>
    <row r="36" spans="3:3" ht="26.65" x14ac:dyDescent="0.45">
      <c r="C36" s="9" t="s">
        <v>56</v>
      </c>
    </row>
    <row r="37" spans="3:3" ht="39.75" x14ac:dyDescent="0.45">
      <c r="C37" s="9" t="s">
        <v>57</v>
      </c>
    </row>
    <row r="38" spans="3:3" x14ac:dyDescent="0.45">
      <c r="C38" s="9" t="s">
        <v>58</v>
      </c>
    </row>
    <row r="39" spans="3:3" ht="26.65" x14ac:dyDescent="0.45">
      <c r="C39" s="9" t="s">
        <v>59</v>
      </c>
    </row>
    <row r="40" spans="3:3" ht="26.65" x14ac:dyDescent="0.45">
      <c r="C40" s="9" t="s">
        <v>60</v>
      </c>
    </row>
  </sheetData>
  <hyperlinks>
    <hyperlink ref="B15" location="'Summary'!A1" display="Summary" xr:uid="{00000000-0004-0000-0000-000000000000}"/>
    <hyperlink ref="B16" location="'Inputs'!A1" display="Inputs" xr:uid="{00000000-0004-0000-0000-000001000000}"/>
    <hyperlink ref="B17" location="'Drivers'!A1" display="Drivers" xr:uid="{00000000-0004-0000-0000-000002000000}"/>
    <hyperlink ref="B18" location="'Rev_Build'!A1" display="Rev_Build" xr:uid="{00000000-0004-0000-0000-000003000000}"/>
    <hyperlink ref="B19" location="'IS'!A1" display="IS / BS / CF" xr:uid="{00000000-0004-0000-0000-000004000000}"/>
    <hyperlink ref="B20" location="'Schedules'!A1" display="Schedules" xr:uid="{00000000-0004-0000-0000-000005000000}"/>
    <hyperlink ref="B21" location="'Annual'!A1" display="Annual" xr:uid="{00000000-0004-0000-0000-000006000000}"/>
    <hyperlink ref="B22" location="'Unit_Econ'!A1" display="Unit_Econ" xr:uid="{00000000-0004-0000-0000-000007000000}"/>
    <hyperlink ref="B23" location="'Bridge'!A1" display="Bridge" xr:uid="{00000000-0004-0000-0000-000008000000}"/>
    <hyperlink ref="B24" location="'Guidance'!A1" display="Guidance" xr:uid="{00000000-0004-0000-0000-000009000000}"/>
    <hyperlink ref="B25" location="'Backtest'!A1" display="Backtest" xr:uid="{00000000-0004-0000-0000-00000A000000}"/>
    <hyperlink ref="B26" location="'Sensitivity'!A1" display="Sensitivity" xr:uid="{00000000-0004-0000-0000-00000B000000}"/>
    <hyperlink ref="B27" location="'Checks'!A1" display="Checks" xr:uid="{00000000-0004-0000-0000-00000C000000}"/>
    <hyperlink ref="B28" location="'Hist_Q'!A1" display="Hist_Q / Hist_A" xr:uid="{00000000-0004-0000-0000-00000D000000}"/>
    <hyperlink ref="B29" location="'Sources'!A1" display="Sources" xr:uid="{00000000-0004-0000-0000-00000E000000}"/>
  </hyperlinks>
  <pageMargins left="0.75" right="0.75" top="1" bottom="1" header="0.5" footer="0.5"/>
  <pageSetup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F2A44"/>
    <pageSetUpPr fitToPage="1"/>
  </sheetPr>
  <dimension ref="A1:AF78"/>
  <sheetViews>
    <sheetView showGridLines="0" zoomScale="90" workbookViewId="0">
      <pane ySplit="3" topLeftCell="A4" activePane="bottomLeft" state="frozen"/>
      <selection pane="bottomLeft"/>
    </sheetView>
  </sheetViews>
  <sheetFormatPr defaultRowHeight="14.25" x14ac:dyDescent="0.45"/>
  <cols>
    <col min="1" max="1" width="3" customWidth="1"/>
    <col min="2" max="2" width="46" customWidth="1"/>
    <col min="3" max="3" width="9" customWidth="1"/>
    <col min="4" max="10" width="11" customWidth="1"/>
  </cols>
  <sheetData>
    <row r="1" spans="1:10" ht="18" x14ac:dyDescent="0.55000000000000004">
      <c r="A1" s="1" t="s">
        <v>61</v>
      </c>
    </row>
    <row r="2" spans="1:10" x14ac:dyDescent="0.45">
      <c r="A2" s="2" t="str">
        <f>"Scenario: "&amp;ScenarioName&amp;"   |   Model checks: "&amp;CheckStatus&amp;"   |   $ in millions unless stated"</f>
        <v>Scenario: Base   |   Model checks: ALL OK   |   $ in millions unless stated</v>
      </c>
    </row>
    <row r="4" spans="1:10" x14ac:dyDescent="0.45">
      <c r="B4" s="7" t="s">
        <v>62</v>
      </c>
      <c r="C4" s="7" t="s">
        <v>63</v>
      </c>
      <c r="D4" s="10" t="str">
        <f>Annual!H4</f>
        <v>FY2023A</v>
      </c>
      <c r="E4" s="10" t="str">
        <f>Annual!I4</f>
        <v>FY2024A</v>
      </c>
      <c r="F4" s="10" t="str">
        <f>Annual!J4</f>
        <v>FY2025A</v>
      </c>
      <c r="G4" s="11" t="str">
        <f>Annual!K4</f>
        <v>FY2026E</v>
      </c>
      <c r="H4" s="11" t="str">
        <f>Annual!L4</f>
        <v>FY2027E</v>
      </c>
      <c r="I4" s="11" t="str">
        <f>Annual!M4</f>
        <v>FY2028E</v>
      </c>
      <c r="J4" s="11" t="str">
        <f>Annual!N4</f>
        <v>FY2029E</v>
      </c>
    </row>
    <row r="5" spans="1:10" x14ac:dyDescent="0.45">
      <c r="B5" s="3" t="s">
        <v>64</v>
      </c>
      <c r="C5" s="12" t="s">
        <v>65</v>
      </c>
      <c r="D5" s="13">
        <f>Annual!H8</f>
        <v>106000</v>
      </c>
      <c r="E5" s="13">
        <f>Annual!I8</f>
        <v>134000</v>
      </c>
      <c r="F5" s="13">
        <f>Annual!J8</f>
        <v>164000</v>
      </c>
      <c r="G5" s="13">
        <f>Annual!K8</f>
        <v>196694.11764705883</v>
      </c>
      <c r="H5" s="13">
        <f>Annual!L8</f>
        <v>230694.11764705883</v>
      </c>
      <c r="I5" s="13">
        <f>Annual!M8</f>
        <v>264694.1176470588</v>
      </c>
      <c r="J5" s="13">
        <f>Annual!N8</f>
        <v>298694.1176470588</v>
      </c>
    </row>
    <row r="6" spans="1:10" x14ac:dyDescent="0.45">
      <c r="B6" s="3" t="s">
        <v>66</v>
      </c>
      <c r="C6" s="12" t="s">
        <v>65</v>
      </c>
      <c r="D6" s="13">
        <f>Annual!H9</f>
        <v>27000</v>
      </c>
      <c r="E6" s="13">
        <f>Annual!I9</f>
        <v>28000</v>
      </c>
      <c r="F6" s="13">
        <f>Annual!J9</f>
        <v>30000</v>
      </c>
      <c r="G6" s="13">
        <f>Annual!K9</f>
        <v>32694.117647058825</v>
      </c>
      <c r="H6" s="13">
        <f>Annual!L9</f>
        <v>34000</v>
      </c>
      <c r="I6" s="13">
        <f>Annual!M9</f>
        <v>34000</v>
      </c>
      <c r="J6" s="13">
        <f>Annual!N9</f>
        <v>34000</v>
      </c>
    </row>
    <row r="7" spans="1:10" x14ac:dyDescent="0.45">
      <c r="B7" s="3" t="s">
        <v>67</v>
      </c>
      <c r="C7" s="12" t="s">
        <v>68</v>
      </c>
      <c r="D7" s="14">
        <f>Annual!H11</f>
        <v>126.2</v>
      </c>
      <c r="E7" s="14">
        <f>Annual!I11</f>
        <v>159.10000000000002</v>
      </c>
      <c r="F7" s="14">
        <f>Annual!J11</f>
        <v>195</v>
      </c>
      <c r="G7" s="14">
        <f>Annual!K11</f>
        <v>235.56315316176469</v>
      </c>
      <c r="H7" s="14">
        <f>Annual!L11</f>
        <v>277.85130082734372</v>
      </c>
      <c r="I7" s="14">
        <f>Annual!M11</f>
        <v>322.13149145241181</v>
      </c>
      <c r="J7" s="14">
        <f>Annual!N11</f>
        <v>366.41168207747995</v>
      </c>
    </row>
    <row r="8" spans="1:10" x14ac:dyDescent="0.45">
      <c r="B8" s="3" t="s">
        <v>69</v>
      </c>
      <c r="C8" s="12" t="s">
        <v>70</v>
      </c>
      <c r="D8" s="13">
        <f>Annual!H26</f>
        <v>3865</v>
      </c>
      <c r="E8" s="13">
        <f>Annual!I26</f>
        <v>4960</v>
      </c>
      <c r="F8" s="13">
        <f>Annual!J26</f>
        <v>6153</v>
      </c>
      <c r="G8" s="13">
        <f>Annual!K26</f>
        <v>7500.3811931323526</v>
      </c>
      <c r="H8" s="13">
        <f>Annual!L26</f>
        <v>8922.8267768992464</v>
      </c>
      <c r="I8" s="13">
        <f>Annual!M26</f>
        <v>10403.969695965752</v>
      </c>
      <c r="J8" s="13">
        <f>Annual!N26</f>
        <v>11902.677897146446</v>
      </c>
    </row>
    <row r="9" spans="1:10" x14ac:dyDescent="0.45">
      <c r="B9" s="3" t="s">
        <v>71</v>
      </c>
      <c r="C9" s="12" t="s">
        <v>70</v>
      </c>
      <c r="D9" s="13">
        <f>Annual!H37</f>
        <v>1057</v>
      </c>
      <c r="E9" s="13">
        <f>Annual!I37</f>
        <v>1417</v>
      </c>
      <c r="F9" s="13">
        <f>Annual!J37</f>
        <v>1887</v>
      </c>
      <c r="G9" s="13">
        <f>Annual!K37</f>
        <v>2384.9416231948526</v>
      </c>
      <c r="H9" s="13">
        <f>Annual!L37</f>
        <v>2889.4687512350238</v>
      </c>
      <c r="I9" s="13">
        <f>Annual!M37</f>
        <v>3414.8114499282865</v>
      </c>
      <c r="J9" s="13">
        <f>Annual!N37</f>
        <v>3944.0928162626196</v>
      </c>
    </row>
    <row r="10" spans="1:10" x14ac:dyDescent="0.45">
      <c r="B10" s="3" t="s">
        <v>72</v>
      </c>
      <c r="C10" s="12" t="s">
        <v>73</v>
      </c>
      <c r="D10" s="15">
        <f>Annual!H38</f>
        <v>0</v>
      </c>
      <c r="E10" s="15">
        <f>Annual!I38</f>
        <v>0.34058656575212876</v>
      </c>
      <c r="F10" s="15">
        <f>Annual!J38</f>
        <v>0.33168666196189123</v>
      </c>
      <c r="G10" s="15">
        <f>Annual!K38</f>
        <v>0.26388003348958811</v>
      </c>
      <c r="H10" s="15">
        <f>Annual!L38</f>
        <v>0.21154695072339336</v>
      </c>
      <c r="I10" s="15">
        <f>Annual!M38</f>
        <v>0.18181290192832833</v>
      </c>
      <c r="J10" s="15">
        <f>Annual!N38</f>
        <v>0.15499578061490005</v>
      </c>
    </row>
    <row r="11" spans="1:10" x14ac:dyDescent="0.45">
      <c r="B11" s="3" t="s">
        <v>74</v>
      </c>
      <c r="C11" s="12" t="s">
        <v>73</v>
      </c>
      <c r="D11" s="15">
        <f>Annual!H51</f>
        <v>0.79943235572374649</v>
      </c>
      <c r="E11" s="15">
        <f>Annual!I51</f>
        <v>0.63373323923782643</v>
      </c>
      <c r="F11" s="15">
        <f>Annual!J51</f>
        <v>0.5601483836777954</v>
      </c>
      <c r="G11" s="15">
        <f>Annual!K51</f>
        <v>0.52399395769105517</v>
      </c>
      <c r="H11" s="15">
        <f>Annual!L51</f>
        <v>0.50895187789459762</v>
      </c>
      <c r="I11" s="15">
        <f>Annual!M51</f>
        <v>0.49215938404412463</v>
      </c>
      <c r="J11" s="15">
        <f>Annual!N51</f>
        <v>0.48172418844053005</v>
      </c>
    </row>
    <row r="12" spans="1:10" x14ac:dyDescent="0.45">
      <c r="B12" s="3" t="s">
        <v>75</v>
      </c>
      <c r="C12" s="12" t="s">
        <v>70</v>
      </c>
      <c r="D12" s="13">
        <f>Annual!H61</f>
        <v>62</v>
      </c>
      <c r="E12" s="13">
        <f>Annual!I61</f>
        <v>373</v>
      </c>
      <c r="F12" s="13">
        <f>Annual!J61</f>
        <v>633</v>
      </c>
      <c r="G12" s="13">
        <f>Annual!K61</f>
        <v>879.52427025367592</v>
      </c>
      <c r="H12" s="13">
        <f>Annual!L61</f>
        <v>1165.8682041762006</v>
      </c>
      <c r="I12" s="13">
        <f>Annual!M61</f>
        <v>1484.5799501047572</v>
      </c>
      <c r="J12" s="13">
        <f>Annual!N61</f>
        <v>1797.9279052143834</v>
      </c>
    </row>
    <row r="13" spans="1:10" x14ac:dyDescent="0.45">
      <c r="B13" s="3" t="s">
        <v>76</v>
      </c>
      <c r="C13" s="12" t="s">
        <v>73</v>
      </c>
      <c r="D13" s="15">
        <f>Annual!H62</f>
        <v>5.8656575212866602E-2</v>
      </c>
      <c r="E13" s="15">
        <f>Annual!I62</f>
        <v>0.26323218066337334</v>
      </c>
      <c r="F13" s="15">
        <f>Annual!J62</f>
        <v>0.3354531001589825</v>
      </c>
      <c r="G13" s="15">
        <f>Annual!K62</f>
        <v>0.36878230548698748</v>
      </c>
      <c r="H13" s="15">
        <f>Annual!L62</f>
        <v>0.40348877407927752</v>
      </c>
      <c r="I13" s="15">
        <f>Annual!M62</f>
        <v>0.43474726844316236</v>
      </c>
      <c r="J13" s="15">
        <f>Annual!N62</f>
        <v>0.45585334548949097</v>
      </c>
    </row>
    <row r="14" spans="1:10" x14ac:dyDescent="0.45">
      <c r="B14" s="3" t="s">
        <v>77</v>
      </c>
      <c r="C14" s="12" t="s">
        <v>70</v>
      </c>
      <c r="D14" s="13">
        <f>Annual!H54</f>
        <v>-246</v>
      </c>
      <c r="E14" s="13">
        <f>Annual!I54</f>
        <v>19</v>
      </c>
      <c r="F14" s="13">
        <f>Annual!J54</f>
        <v>342</v>
      </c>
      <c r="G14" s="13">
        <f>Annual!K54</f>
        <v>599.19615608775098</v>
      </c>
      <c r="H14" s="13">
        <f>Annual!L54</f>
        <v>821.05898472328431</v>
      </c>
      <c r="I14" s="13">
        <f>Annual!M54</f>
        <v>1074.7680261128808</v>
      </c>
      <c r="J14" s="13">
        <f>Annual!N54</f>
        <v>1321.6796858933226</v>
      </c>
    </row>
    <row r="15" spans="1:10" x14ac:dyDescent="0.45">
      <c r="B15" s="3" t="s">
        <v>78</v>
      </c>
      <c r="C15" s="12" t="s">
        <v>70</v>
      </c>
      <c r="D15" s="13">
        <f>Annual!H66</f>
        <v>93</v>
      </c>
      <c r="E15" s="13">
        <f>Annual!I66</f>
        <v>306</v>
      </c>
      <c r="F15" s="13">
        <f>Annual!J66</f>
        <v>608</v>
      </c>
      <c r="G15" s="13">
        <f>Annual!K66</f>
        <v>727.44338029815049</v>
      </c>
      <c r="H15" s="13">
        <f>Annual!L66</f>
        <v>1171.2388337574296</v>
      </c>
      <c r="I15" s="13">
        <f>Annual!M66</f>
        <v>1436.3153229147013</v>
      </c>
      <c r="J15" s="13">
        <f>Annual!N66</f>
        <v>1680.8420725643389</v>
      </c>
    </row>
    <row r="16" spans="1:10" x14ac:dyDescent="0.45">
      <c r="B16" s="3" t="s">
        <v>79</v>
      </c>
      <c r="C16" s="12" t="s">
        <v>70</v>
      </c>
      <c r="D16" s="13">
        <f>Annual!H84</f>
        <v>1124</v>
      </c>
      <c r="E16" s="13">
        <f>Annual!I84</f>
        <v>1417</v>
      </c>
      <c r="F16" s="13">
        <f>Annual!J84</f>
        <v>1991</v>
      </c>
      <c r="G16" s="13">
        <f>Annual!K84</f>
        <v>1895.4433802981507</v>
      </c>
      <c r="H16" s="13">
        <f>Annual!L84</f>
        <v>2466.6822140555805</v>
      </c>
      <c r="I16" s="13">
        <f>Annual!M84</f>
        <v>3302.9975369702815</v>
      </c>
      <c r="J16" s="13">
        <f>Annual!N84</f>
        <v>4383.8396095346206</v>
      </c>
    </row>
    <row r="18" spans="2:9" x14ac:dyDescent="0.45">
      <c r="B18" s="7" t="s">
        <v>80</v>
      </c>
      <c r="C18" s="16"/>
      <c r="D18" s="16"/>
      <c r="E18" s="16"/>
      <c r="F18" s="16"/>
      <c r="G18" s="16"/>
      <c r="H18" s="16"/>
      <c r="I18" s="16"/>
    </row>
    <row r="19" spans="2:9" x14ac:dyDescent="0.45">
      <c r="B19" s="17" t="str">
        <f>"1. Fintech was "&amp;TEXT(Annual!J24/Annual!J26,"0%")&amp;" of FY2025 revenue and "&amp;TEXT(Annual!J29/Annual!J36,"0%")&amp;" of recurring gross profit; its gross margin was "&amp;TEXT(Annual!J33,"0%")&amp;" against "&amp;TEXT(Annual!J32,"0%")&amp;" for subscription."</f>
        <v>1. Fintech was 82% of FY2025 revenue and 63% of recurring gross profit; its gross margin was 23% against 72% for subscription.</v>
      </c>
    </row>
    <row r="20" spans="2:9" x14ac:dyDescent="0.45">
      <c r="B20" s="17" t="str">
        <f>"2. Fintech gross profit is "&amp;TEXT(Annual!J16,"0")&amp;" bps of GPV: take rate "&amp;TEXT(Annual!J14*BpsPerUnit,"0")&amp;" bps less cost "&amp;TEXT(Annual!J15*BpsPerUnit,"0")&amp;" bps (interchange, processing, credit losses)."</f>
        <v>2. Fintech gross profit is 59 bps of GPV: take rate 258 bps less cost 200 bps (interchange, processing, credit losses).</v>
      </c>
    </row>
    <row r="21" spans="2:9" x14ac:dyDescent="0.45">
      <c r="B21" s="17" t="str">
        <f>"3. Winning a location cost about $"&amp;TEXT(Unit_Econ!G13,"0.0")&amp;"k in FY2025 (non-GAAP S&amp;M $"&amp;TEXT(Unit_Econ!G11,"0.0")&amp;"k + hardware loss $"&amp;TEXT(Unit_Econ!G12,"0.0")&amp;"k per net add) against $"&amp;TEXT(Unit_Econ!G7,"0.0")&amp;"k a year of recurring gross profit: payback about "&amp;TEXT(Unit_Econ!G18,"0")&amp;" months."</f>
        <v>3. Winning a location cost about $13.6k in FY2025 (non-GAAP S&amp;M $7.1k + hardware loss $6.6k per net add) against $12.7k a year of recurring gross profit: payback about 13 months.</v>
      </c>
    </row>
    <row r="22" spans="2:9" x14ac:dyDescent="0.45">
      <c r="B22" s="17" t="str">
        <f>"4. Non-GAAP operating expenses took "&amp;TEXT(Annual!J51,"0%")&amp;" of non-GAAP recurring gross profit in FY2025 (S&amp;M "&amp;TEXT(Annual!J45/Annual!J37,"0%")&amp;", R&amp;D "&amp;TEXT(Annual!J48/Annual!J37,"0%")&amp;", G&amp;A "&amp;TEXT(Annual!J49/Annual!J37,"0%")&amp;")."</f>
        <v>4. Non-GAAP operating expenses took 56% of non-GAAP recurring gross profit in FY2025 (S&amp;M 27%, R&amp;D 15%, G&amp;A 14%).</v>
      </c>
    </row>
    <row r="23" spans="2:9" x14ac:dyDescent="0.45">
      <c r="B23" s="17" t="str">
        <f>"5. Cash: free cash flow of $"&amp;TEXT(Annual!J66,"#,##0")&amp;"m in FY2025 ("&amp;TEXT(Annual!J67,"0%")&amp;" of Adjusted EBITDA); the "&amp;ScenarioName&amp;" case has FY2027E free cash flow of $"&amp;TEXT(Annual!L66,"#,##0")&amp;"m (see Annual: EBITDA-to-FCF bridge)."</f>
        <v>5. Cash: free cash flow of $608m in FY2025 (96% of Adjusted EBITDA); the Base case has FY2027E free cash flow of $1,171m (see Annual: EBITDA-to-FCF bridge).</v>
      </c>
    </row>
    <row r="25" spans="2:9" ht="30" customHeight="1" x14ac:dyDescent="0.45">
      <c r="B25" s="7" t="s">
        <v>81</v>
      </c>
      <c r="D25" s="18" t="s">
        <v>82</v>
      </c>
      <c r="E25" s="18" t="s">
        <v>83</v>
      </c>
      <c r="F25" s="18" t="s">
        <v>84</v>
      </c>
      <c r="G25" s="18" t="s">
        <v>85</v>
      </c>
      <c r="H25" s="18" t="s">
        <v>86</v>
      </c>
      <c r="I25" s="18" t="s">
        <v>87</v>
      </c>
    </row>
    <row r="26" spans="2:9" x14ac:dyDescent="0.45">
      <c r="B26" s="3" t="s">
        <v>88</v>
      </c>
      <c r="D26" s="13">
        <f>Sensitivity!F14</f>
        <v>2281.6497813622291</v>
      </c>
      <c r="E26" s="13">
        <f>Sensitivity!G14</f>
        <v>783.01095783281744</v>
      </c>
      <c r="F26" s="13">
        <f>Sensitivity!H14</f>
        <v>7683.414857269041</v>
      </c>
      <c r="G26" s="13">
        <f>Sensitivity!I14</f>
        <v>2278.2510059499136</v>
      </c>
      <c r="H26" s="13">
        <f>Sensitivity!J14</f>
        <v>629.62471183226614</v>
      </c>
      <c r="I26" s="13">
        <f>Sensitivity!K14</f>
        <v>645.95394235957303</v>
      </c>
    </row>
    <row r="27" spans="2:9" x14ac:dyDescent="0.45">
      <c r="B27" s="3" t="s">
        <v>89</v>
      </c>
      <c r="D27" s="13">
        <f>Sensitivity!F15</f>
        <v>2384.9416231948526</v>
      </c>
      <c r="E27" s="13">
        <f>Sensitivity!G15</f>
        <v>879.52427025367592</v>
      </c>
      <c r="F27" s="13">
        <f>Sensitivity!H15</f>
        <v>8922.8267768992464</v>
      </c>
      <c r="G27" s="13">
        <f>Sensitivity!I15</f>
        <v>2889.4687512350238</v>
      </c>
      <c r="H27" s="13">
        <f>Sensitivity!J15</f>
        <v>1165.8682041762006</v>
      </c>
      <c r="I27" s="13">
        <f>Sensitivity!K15</f>
        <v>1171.2388337574296</v>
      </c>
    </row>
    <row r="28" spans="2:9" x14ac:dyDescent="0.45">
      <c r="B28" s="3" t="s">
        <v>90</v>
      </c>
      <c r="D28" s="13">
        <f>Sensitivity!F16</f>
        <v>2432.9812103970589</v>
      </c>
      <c r="E28" s="13">
        <f>Sensitivity!G16</f>
        <v>888.26062216176535</v>
      </c>
      <c r="F28" s="13">
        <f>Sensitivity!H16</f>
        <v>9471.2933990942565</v>
      </c>
      <c r="G28" s="13">
        <f>Sensitivity!I16</f>
        <v>3129.2716237916452</v>
      </c>
      <c r="H28" s="13">
        <f>Sensitivity!J16</f>
        <v>1305.1276767328218</v>
      </c>
      <c r="I28" s="13">
        <f>Sensitivity!K16</f>
        <v>1316.5895966832879</v>
      </c>
    </row>
    <row r="68" spans="2:32" x14ac:dyDescent="0.45">
      <c r="B68" s="19" t="s">
        <v>91</v>
      </c>
    </row>
    <row r="69" spans="2:32" x14ac:dyDescent="0.45">
      <c r="B69" s="12" t="s">
        <v>92</v>
      </c>
      <c r="D69" s="20" t="str">
        <f>Drivers!I4</f>
        <v>Q4'22</v>
      </c>
      <c r="E69" s="20" t="str">
        <f>Drivers!J4</f>
        <v>Q1'23</v>
      </c>
      <c r="F69" s="20" t="str">
        <f>Drivers!K4</f>
        <v>Q2'23</v>
      </c>
      <c r="G69" s="20" t="str">
        <f>Drivers!L4</f>
        <v>Q3'23</v>
      </c>
      <c r="H69" s="20" t="str">
        <f>Drivers!M4</f>
        <v>Q4'23</v>
      </c>
      <c r="I69" s="20" t="str">
        <f>Drivers!N4</f>
        <v>Q1'24</v>
      </c>
      <c r="J69" s="20" t="str">
        <f>Drivers!O4</f>
        <v>Q2'24</v>
      </c>
      <c r="K69" s="20" t="str">
        <f>Drivers!P4</f>
        <v>Q3'24</v>
      </c>
      <c r="L69" s="20" t="str">
        <f>Drivers!Q4</f>
        <v>Q4'24</v>
      </c>
      <c r="M69" s="20" t="str">
        <f>Drivers!R4</f>
        <v>Q1'25</v>
      </c>
      <c r="N69" s="20" t="str">
        <f>Drivers!S4</f>
        <v>Q2'25</v>
      </c>
      <c r="O69" s="20" t="str">
        <f>Drivers!T4</f>
        <v>Q3'25</v>
      </c>
      <c r="P69" s="20" t="str">
        <f>Drivers!U4</f>
        <v>Q4'25</v>
      </c>
      <c r="Q69" s="20" t="str">
        <f>Drivers!V4</f>
        <v>Q1'26</v>
      </c>
      <c r="R69" s="20" t="str">
        <f>Drivers!W4</f>
        <v>Q2'26</v>
      </c>
      <c r="S69" s="20" t="str">
        <f>Drivers!X4</f>
        <v>Q3'26</v>
      </c>
      <c r="T69" s="20" t="str">
        <f>Drivers!Y4</f>
        <v>Q4'26</v>
      </c>
      <c r="U69" s="20" t="str">
        <f>Drivers!Z4</f>
        <v>Q1'27</v>
      </c>
      <c r="V69" s="20" t="str">
        <f>Drivers!AA4</f>
        <v>Q2'27</v>
      </c>
      <c r="W69" s="20" t="str">
        <f>Drivers!AB4</f>
        <v>Q3'27</v>
      </c>
      <c r="X69" s="20" t="str">
        <f>Drivers!AC4</f>
        <v>Q4'27</v>
      </c>
      <c r="Y69" s="20" t="str">
        <f>Drivers!AD4</f>
        <v>Q1'28</v>
      </c>
      <c r="Z69" s="20" t="str">
        <f>Drivers!AE4</f>
        <v>Q2'28</v>
      </c>
      <c r="AA69" s="20" t="str">
        <f>Drivers!AF4</f>
        <v>Q3'28</v>
      </c>
      <c r="AB69" s="20" t="str">
        <f>Drivers!AG4</f>
        <v>Q4'28</v>
      </c>
      <c r="AC69" s="20" t="str">
        <f>Drivers!AH4</f>
        <v>Q1'29</v>
      </c>
      <c r="AD69" s="20" t="str">
        <f>Drivers!AI4</f>
        <v>Q2'29</v>
      </c>
      <c r="AE69" s="20" t="str">
        <f>Drivers!AJ4</f>
        <v>Q3'29</v>
      </c>
      <c r="AF69" s="20" t="str">
        <f>Drivers!AK4</f>
        <v>Q4'29</v>
      </c>
    </row>
    <row r="70" spans="2:32" x14ac:dyDescent="0.45">
      <c r="B70" s="12" t="s">
        <v>93</v>
      </c>
      <c r="D70" s="13">
        <f>Rev_Build!I61</f>
        <v>207</v>
      </c>
      <c r="E70" s="13">
        <f>Rev_Build!J61</f>
        <v>229</v>
      </c>
      <c r="F70" s="13">
        <f>Rev_Build!K61</f>
        <v>267</v>
      </c>
      <c r="G70" s="13">
        <f>Rev_Build!L61</f>
        <v>280</v>
      </c>
      <c r="H70" s="13">
        <f>Rev_Build!M61</f>
        <v>281</v>
      </c>
      <c r="I70" s="13">
        <f>Rev_Build!N61</f>
        <v>303</v>
      </c>
      <c r="J70" s="13">
        <f>Rev_Build!O61</f>
        <v>344</v>
      </c>
      <c r="K70" s="13">
        <f>Rev_Build!P61</f>
        <v>378</v>
      </c>
      <c r="L70" s="13">
        <f>Rev_Build!Q61</f>
        <v>392</v>
      </c>
      <c r="M70" s="13">
        <f>Rev_Build!R61</f>
        <v>415</v>
      </c>
      <c r="N70" s="13">
        <f>Rev_Build!S61</f>
        <v>464</v>
      </c>
      <c r="O70" s="13">
        <f>Rev_Build!T61</f>
        <v>505</v>
      </c>
      <c r="P70" s="13">
        <f>Rev_Build!U61</f>
        <v>503</v>
      </c>
      <c r="Q70" s="13">
        <f>Rev_Build!V61</f>
        <v>529</v>
      </c>
      <c r="R70" s="13">
        <f>Rev_Build!W61</f>
        <v>595</v>
      </c>
      <c r="S70" s="13">
        <f>Rev_Build!X61</f>
        <v>635.77628759191134</v>
      </c>
      <c r="T70" s="13">
        <f>Rev_Build!Y61</f>
        <v>625.16533560294101</v>
      </c>
      <c r="U70" s="13">
        <f>Rev_Build!Z61</f>
        <v>647.28918691834951</v>
      </c>
      <c r="V70" s="13">
        <f>Rev_Build!AA61</f>
        <v>721.69171230769211</v>
      </c>
      <c r="W70" s="13">
        <f>Rev_Build!AB61</f>
        <v>768.29760486679515</v>
      </c>
      <c r="X70" s="13">
        <f>Rev_Build!AC61</f>
        <v>752.19024714218745</v>
      </c>
      <c r="Y70" s="13">
        <f>Rev_Build!AD61</f>
        <v>771.70004759648805</v>
      </c>
      <c r="Z70" s="13">
        <f>Rev_Build!AE61</f>
        <v>855.35952821283672</v>
      </c>
      <c r="AA70" s="13">
        <f>Rev_Build!AF61</f>
        <v>905.21169804855788</v>
      </c>
      <c r="AB70" s="13">
        <f>Rev_Build!AG61</f>
        <v>882.54017607040419</v>
      </c>
      <c r="AC70" s="13">
        <f>Rev_Build!AH61</f>
        <v>897.20511607394496</v>
      </c>
      <c r="AD70" s="13">
        <f>Rev_Build!AI61</f>
        <v>990.14048446068</v>
      </c>
      <c r="AE70" s="13">
        <f>Rev_Build!AJ61</f>
        <v>1043.0812824836221</v>
      </c>
      <c r="AF70" s="13">
        <f>Rev_Build!AK61</f>
        <v>1013.6659332443721</v>
      </c>
    </row>
    <row r="71" spans="2:32" x14ac:dyDescent="0.45">
      <c r="B71" s="12" t="s">
        <v>94</v>
      </c>
      <c r="D71" s="13">
        <f>IS!I54</f>
        <v>-18</v>
      </c>
      <c r="E71" s="13">
        <f>IS!J54</f>
        <v>-17</v>
      </c>
      <c r="F71" s="13">
        <f>IS!K54</f>
        <v>15</v>
      </c>
      <c r="G71" s="13">
        <f>IS!L54</f>
        <v>35</v>
      </c>
      <c r="H71" s="13">
        <f>IS!M54</f>
        <v>29</v>
      </c>
      <c r="I71" s="13">
        <f>IS!N54</f>
        <v>57</v>
      </c>
      <c r="J71" s="13">
        <f>IS!O54</f>
        <v>92</v>
      </c>
      <c r="K71" s="13">
        <f>IS!P54</f>
        <v>113</v>
      </c>
      <c r="L71" s="13">
        <f>IS!Q54</f>
        <v>111</v>
      </c>
      <c r="M71" s="13">
        <f>IS!R54</f>
        <v>133</v>
      </c>
      <c r="N71" s="13">
        <f>IS!S54</f>
        <v>161</v>
      </c>
      <c r="O71" s="13">
        <f>IS!T54</f>
        <v>176</v>
      </c>
      <c r="P71" s="13">
        <f>IS!U54</f>
        <v>163</v>
      </c>
      <c r="Q71" s="13">
        <f>IS!V54</f>
        <v>179</v>
      </c>
      <c r="R71" s="13">
        <f>IS!W54</f>
        <v>221</v>
      </c>
      <c r="S71" s="13">
        <f>IS!X54</f>
        <v>244.23172876838197</v>
      </c>
      <c r="T71" s="13">
        <f>IS!Y54</f>
        <v>235.2925414852939</v>
      </c>
      <c r="U71" s="13">
        <f>IS!Z54</f>
        <v>254.38477515364374</v>
      </c>
      <c r="V71" s="13">
        <f>IS!AA54</f>
        <v>285.60730054298625</v>
      </c>
      <c r="W71" s="13">
        <f>IS!AB54</f>
        <v>319.7875931020892</v>
      </c>
      <c r="X71" s="13">
        <f>IS!AC54</f>
        <v>306.08853537748149</v>
      </c>
      <c r="Y71" s="13">
        <f>IS!AD54</f>
        <v>329.84818289060559</v>
      </c>
      <c r="Z71" s="13">
        <f>IS!AE54</f>
        <v>367.92656350695427</v>
      </c>
      <c r="AA71" s="13">
        <f>IS!AF54</f>
        <v>403.07861934267555</v>
      </c>
      <c r="AB71" s="13">
        <f>IS!AG54</f>
        <v>383.72658436452184</v>
      </c>
      <c r="AC71" s="13">
        <f>IS!AH54</f>
        <v>404.1536204268856</v>
      </c>
      <c r="AD71" s="13">
        <f>IS!AI54</f>
        <v>449.02318681362107</v>
      </c>
      <c r="AE71" s="13">
        <f>IS!AJ54</f>
        <v>484.96597319656343</v>
      </c>
      <c r="AF71" s="13">
        <f>IS!AK54</f>
        <v>459.78512477731323</v>
      </c>
    </row>
    <row r="72" spans="2:32" x14ac:dyDescent="0.45">
      <c r="B72" s="12" t="s">
        <v>95</v>
      </c>
      <c r="D72" s="13">
        <f>CF!I32</f>
        <v>-29</v>
      </c>
      <c r="E72" s="13">
        <f>CF!J32</f>
        <v>-65</v>
      </c>
      <c r="F72" s="13">
        <f>CF!K32</f>
        <v>39</v>
      </c>
      <c r="G72" s="13">
        <f>CF!L32</f>
        <v>38</v>
      </c>
      <c r="H72" s="13">
        <f>CF!M32</f>
        <v>81</v>
      </c>
      <c r="I72" s="13">
        <f>CF!N32</f>
        <v>-33</v>
      </c>
      <c r="J72" s="13">
        <f>CF!O32</f>
        <v>108</v>
      </c>
      <c r="K72" s="13">
        <f>CF!P32</f>
        <v>97</v>
      </c>
      <c r="L72" s="13">
        <f>CF!Q32</f>
        <v>134</v>
      </c>
      <c r="M72" s="13">
        <f>CF!R32</f>
        <v>69</v>
      </c>
      <c r="N72" s="13">
        <f>CF!S32</f>
        <v>208</v>
      </c>
      <c r="O72" s="13">
        <f>CF!T32</f>
        <v>153</v>
      </c>
      <c r="P72" s="13">
        <f>CF!U32</f>
        <v>178</v>
      </c>
      <c r="Q72" s="13">
        <f>CF!V32</f>
        <v>115</v>
      </c>
      <c r="R72" s="13">
        <f>CF!W32</f>
        <v>130</v>
      </c>
      <c r="S72" s="13">
        <f>CF!X32</f>
        <v>265.55965390979452</v>
      </c>
      <c r="T72" s="13">
        <f>CF!Y32</f>
        <v>216.88372638835597</v>
      </c>
      <c r="U72" s="13">
        <f>CF!Z32</f>
        <v>268.09572287255651</v>
      </c>
      <c r="V72" s="13">
        <f>CF!AA32</f>
        <v>308.25251640656842</v>
      </c>
      <c r="W72" s="13">
        <f>CF!AB32</f>
        <v>312.62907246352535</v>
      </c>
      <c r="X72" s="13">
        <f>CF!AC32</f>
        <v>282.2615220147793</v>
      </c>
      <c r="Y72" s="13">
        <f>CF!AD32</f>
        <v>313.53277190813299</v>
      </c>
      <c r="Z72" s="13">
        <f>CF!AE32</f>
        <v>394.0322487063865</v>
      </c>
      <c r="AA72" s="13">
        <f>CF!AF32</f>
        <v>379.06739379272034</v>
      </c>
      <c r="AB72" s="13">
        <f>CF!AG32</f>
        <v>349.68290850746126</v>
      </c>
      <c r="AC72" s="13">
        <f>CF!AH32</f>
        <v>345.1926460413178</v>
      </c>
      <c r="AD72" s="13">
        <f>CF!AI32</f>
        <v>475.61896436330687</v>
      </c>
      <c r="AE72" s="13">
        <f>CF!AJ32</f>
        <v>446.65523207590019</v>
      </c>
      <c r="AF72" s="13">
        <f>CF!AK32</f>
        <v>413.37523008381402</v>
      </c>
    </row>
    <row r="74" spans="2:32" x14ac:dyDescent="0.45">
      <c r="B74" s="19" t="s">
        <v>96</v>
      </c>
    </row>
    <row r="75" spans="2:32" x14ac:dyDescent="0.45">
      <c r="B75" s="12" t="s">
        <v>97</v>
      </c>
      <c r="D75" s="20" t="str">
        <f>Annual!H4</f>
        <v>FY2023A</v>
      </c>
      <c r="E75" s="20" t="str">
        <f>Annual!I4</f>
        <v>FY2024A</v>
      </c>
      <c r="F75" s="20" t="str">
        <f>Annual!J4</f>
        <v>FY2025A</v>
      </c>
      <c r="G75" s="20" t="str">
        <f>Annual!K4</f>
        <v>FY2026E</v>
      </c>
      <c r="H75" s="20" t="str">
        <f>Annual!L4</f>
        <v>FY2027E</v>
      </c>
      <c r="I75" s="20" t="str">
        <f>Annual!M4</f>
        <v>FY2028E</v>
      </c>
      <c r="J75" s="20" t="str">
        <f>Annual!N4</f>
        <v>FY2029E</v>
      </c>
    </row>
    <row r="76" spans="2:32" x14ac:dyDescent="0.45">
      <c r="B76" s="12" t="s">
        <v>98</v>
      </c>
      <c r="D76" s="13">
        <f>Annual!H28</f>
        <v>335</v>
      </c>
      <c r="E76" s="13">
        <f>Annual!I28</f>
        <v>487</v>
      </c>
      <c r="F76" s="13">
        <f>Annual!J28</f>
        <v>672</v>
      </c>
      <c r="G76" s="13">
        <f>Annual!K28</f>
        <v>922.65332595588234</v>
      </c>
      <c r="H76" s="13">
        <f>Annual!L28</f>
        <v>1142.8728406588236</v>
      </c>
      <c r="I76" s="13">
        <f>Annual!M28</f>
        <v>1380.1232847885099</v>
      </c>
      <c r="J76" s="13">
        <f>Annual!N28</f>
        <v>1616.8843774967584</v>
      </c>
    </row>
    <row r="77" spans="2:32" x14ac:dyDescent="0.45">
      <c r="B77" s="12" t="s">
        <v>99</v>
      </c>
      <c r="D77" s="13">
        <f>Annual!H29</f>
        <v>685</v>
      </c>
      <c r="E77" s="13">
        <f>Annual!I29</f>
        <v>877</v>
      </c>
      <c r="F77" s="13">
        <f>Annual!J29</f>
        <v>1146</v>
      </c>
      <c r="G77" s="13">
        <f>Annual!K29</f>
        <v>1423.28829723897</v>
      </c>
      <c r="H77" s="13">
        <f>Annual!L29</f>
        <v>1706.5959105762006</v>
      </c>
      <c r="I77" s="13">
        <f>Annual!M29</f>
        <v>1994.6881651397769</v>
      </c>
      <c r="J77" s="13">
        <f>Annual!N29</f>
        <v>2287.2084387658606</v>
      </c>
    </row>
    <row r="78" spans="2:32" x14ac:dyDescent="0.45">
      <c r="B78" s="12" t="s">
        <v>100</v>
      </c>
      <c r="D78" s="13">
        <f>Annual!H30</f>
        <v>-182</v>
      </c>
      <c r="E78" s="13">
        <f>Annual!I30</f>
        <v>-170</v>
      </c>
      <c r="F78" s="13">
        <f>Annual!J30</f>
        <v>-220</v>
      </c>
      <c r="G78" s="13">
        <f>Annual!K30</f>
        <v>-275.2223529411765</v>
      </c>
      <c r="H78" s="13">
        <f>Annual!L30</f>
        <v>-272</v>
      </c>
      <c r="I78" s="13">
        <f>Annual!M30</f>
        <v>-268.60000000000002</v>
      </c>
      <c r="J78" s="13">
        <f>Annual!N30</f>
        <v>-265.2</v>
      </c>
    </row>
  </sheetData>
  <pageMargins left="0.75" right="0.75" top="1" bottom="1" header="0.5" footer="0.5"/>
  <pageSetup fitToHeight="0"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A1:U67"/>
  <sheetViews>
    <sheetView showGridLines="0" zoomScale="90" workbookViewId="0">
      <pane xSplit="3" ySplit="3" topLeftCell="D4" activePane="bottomRight" state="frozen"/>
      <selection pane="topRight"/>
      <selection pane="bottomLeft"/>
      <selection pane="bottomRight"/>
    </sheetView>
  </sheetViews>
  <sheetFormatPr defaultRowHeight="14.25" x14ac:dyDescent="0.45"/>
  <cols>
    <col min="1" max="1" width="13" customWidth="1"/>
    <col min="2" max="2" width="50" customWidth="1"/>
    <col min="3" max="3" width="11" customWidth="1"/>
    <col min="4" max="4" width="3" customWidth="1"/>
    <col min="5" max="5" width="12" customWidth="1"/>
    <col min="6" max="7" width="2" customWidth="1"/>
    <col min="8" max="19" width="11" customWidth="1"/>
    <col min="21" max="21" width="60" customWidth="1"/>
  </cols>
  <sheetData>
    <row r="1" spans="1:19" ht="18" x14ac:dyDescent="0.55000000000000004">
      <c r="A1" s="1" t="s">
        <v>101</v>
      </c>
    </row>
    <row r="2" spans="1:19" x14ac:dyDescent="0.45">
      <c r="A2" s="2" t="s">
        <v>102</v>
      </c>
    </row>
    <row r="4" spans="1:19" x14ac:dyDescent="0.45">
      <c r="A4" s="21"/>
      <c r="B4" s="22" t="s">
        <v>103</v>
      </c>
      <c r="C4" s="21"/>
      <c r="D4" s="21"/>
      <c r="E4" s="21"/>
      <c r="F4" s="21"/>
      <c r="G4" s="21"/>
      <c r="H4" s="21"/>
      <c r="I4" s="21"/>
      <c r="J4" s="21"/>
      <c r="K4" s="21"/>
      <c r="L4" s="21"/>
      <c r="M4" s="21"/>
      <c r="N4" s="21"/>
      <c r="O4" s="21"/>
      <c r="P4" s="21"/>
      <c r="Q4" s="21"/>
      <c r="R4" s="21"/>
      <c r="S4" s="21"/>
    </row>
    <row r="5" spans="1:19" x14ac:dyDescent="0.45">
      <c r="A5" s="12" t="s">
        <v>104</v>
      </c>
      <c r="B5" s="3" t="s">
        <v>105</v>
      </c>
      <c r="C5" s="12" t="s">
        <v>106</v>
      </c>
      <c r="E5" s="23">
        <v>2</v>
      </c>
    </row>
    <row r="6" spans="1:19" x14ac:dyDescent="0.45">
      <c r="A6" s="12" t="s">
        <v>107</v>
      </c>
      <c r="B6" s="3" t="s">
        <v>108</v>
      </c>
      <c r="C6" s="12" t="s">
        <v>109</v>
      </c>
      <c r="E6" s="24">
        <v>44561</v>
      </c>
    </row>
    <row r="7" spans="1:19" x14ac:dyDescent="0.45">
      <c r="A7" s="12" t="s">
        <v>110</v>
      </c>
      <c r="B7" s="3" t="s">
        <v>111</v>
      </c>
      <c r="C7" s="12" t="s">
        <v>109</v>
      </c>
      <c r="E7" s="24">
        <v>46203</v>
      </c>
    </row>
    <row r="8" spans="1:19" x14ac:dyDescent="0.45">
      <c r="A8" s="12" t="s">
        <v>112</v>
      </c>
      <c r="B8" s="3" t="s">
        <v>113</v>
      </c>
      <c r="C8" s="12" t="s">
        <v>114</v>
      </c>
      <c r="E8" s="23">
        <v>2026</v>
      </c>
    </row>
    <row r="9" spans="1:19" x14ac:dyDescent="0.45">
      <c r="A9" s="12" t="s">
        <v>115</v>
      </c>
      <c r="B9" s="3" t="s">
        <v>116</v>
      </c>
      <c r="C9" s="12" t="s">
        <v>65</v>
      </c>
      <c r="E9" s="23">
        <v>4</v>
      </c>
    </row>
    <row r="10" spans="1:19" x14ac:dyDescent="0.45">
      <c r="A10" s="12" t="s">
        <v>117</v>
      </c>
      <c r="B10" s="3" t="s">
        <v>118</v>
      </c>
      <c r="C10" s="12" t="s">
        <v>114</v>
      </c>
      <c r="E10" s="23">
        <v>2023</v>
      </c>
    </row>
    <row r="11" spans="1:19" x14ac:dyDescent="0.45">
      <c r="A11" s="12" t="s">
        <v>119</v>
      </c>
      <c r="B11" s="3" t="s">
        <v>120</v>
      </c>
      <c r="C11" s="12" t="s">
        <v>114</v>
      </c>
      <c r="E11" s="23">
        <v>2025</v>
      </c>
    </row>
    <row r="12" spans="1:19" x14ac:dyDescent="0.45">
      <c r="A12" s="12" t="s">
        <v>121</v>
      </c>
      <c r="B12" s="3" t="s">
        <v>122</v>
      </c>
      <c r="C12" s="12" t="s">
        <v>123</v>
      </c>
      <c r="E12" s="23">
        <v>3</v>
      </c>
    </row>
    <row r="13" spans="1:19" x14ac:dyDescent="0.45">
      <c r="A13" s="12" t="s">
        <v>124</v>
      </c>
      <c r="B13" s="3" t="s">
        <v>125</v>
      </c>
      <c r="C13" s="12" t="s">
        <v>70</v>
      </c>
      <c r="E13" s="25">
        <v>100</v>
      </c>
    </row>
    <row r="14" spans="1:19" x14ac:dyDescent="0.45">
      <c r="A14" s="12" t="s">
        <v>126</v>
      </c>
      <c r="B14" s="3" t="s">
        <v>127</v>
      </c>
      <c r="C14" s="12" t="s">
        <v>128</v>
      </c>
      <c r="E14" s="25">
        <v>0</v>
      </c>
    </row>
    <row r="15" spans="1:19" x14ac:dyDescent="0.45">
      <c r="A15" s="12" t="s">
        <v>129</v>
      </c>
      <c r="B15" s="3" t="s">
        <v>130</v>
      </c>
      <c r="C15" s="12" t="s">
        <v>70</v>
      </c>
      <c r="E15" s="26">
        <v>1E-3</v>
      </c>
    </row>
    <row r="16" spans="1:19" x14ac:dyDescent="0.45">
      <c r="A16" s="12" t="s">
        <v>131</v>
      </c>
      <c r="B16" s="3" t="s">
        <v>132</v>
      </c>
      <c r="C16" s="12" t="s">
        <v>70</v>
      </c>
      <c r="E16" s="27">
        <v>2</v>
      </c>
    </row>
    <row r="17" spans="1:21" x14ac:dyDescent="0.45">
      <c r="A17" s="12" t="s">
        <v>133</v>
      </c>
      <c r="B17" s="3" t="s">
        <v>134</v>
      </c>
      <c r="C17" s="12" t="s">
        <v>70</v>
      </c>
      <c r="E17" s="27">
        <v>3</v>
      </c>
    </row>
    <row r="18" spans="1:21" x14ac:dyDescent="0.45">
      <c r="A18" s="12" t="s">
        <v>135</v>
      </c>
      <c r="B18" s="3" t="s">
        <v>136</v>
      </c>
      <c r="C18" s="12"/>
      <c r="E18" s="3" t="str">
        <f>CHOOSE(ScenarioActive,"Bear","Base","Bull")</f>
        <v>Base</v>
      </c>
    </row>
    <row r="19" spans="1:21" x14ac:dyDescent="0.45">
      <c r="A19" s="12" t="s">
        <v>137</v>
      </c>
      <c r="B19" s="3" t="s">
        <v>138</v>
      </c>
      <c r="C19" s="12"/>
      <c r="E19" s="28">
        <f>IF(ScenarioOverride&gt;0,ScenarioOverride,Scenario)</f>
        <v>2</v>
      </c>
    </row>
    <row r="21" spans="1:21" x14ac:dyDescent="0.45">
      <c r="A21" s="21"/>
      <c r="B21" s="22" t="s">
        <v>139</v>
      </c>
      <c r="C21" s="21"/>
      <c r="D21" s="21"/>
      <c r="E21" s="21"/>
      <c r="F21" s="21"/>
      <c r="G21" s="21"/>
      <c r="H21" s="21"/>
      <c r="I21" s="21"/>
      <c r="J21" s="21"/>
      <c r="K21" s="21"/>
      <c r="L21" s="21"/>
      <c r="M21" s="21"/>
      <c r="N21" s="21"/>
      <c r="O21" s="21"/>
      <c r="P21" s="21"/>
      <c r="Q21" s="21"/>
      <c r="R21" s="21"/>
      <c r="S21" s="21"/>
    </row>
    <row r="22" spans="1:21" x14ac:dyDescent="0.45">
      <c r="A22" s="12" t="s">
        <v>140</v>
      </c>
      <c r="B22" s="3" t="s">
        <v>141</v>
      </c>
      <c r="C22" s="12" t="s">
        <v>65</v>
      </c>
      <c r="E22" s="29">
        <v>3</v>
      </c>
    </row>
    <row r="23" spans="1:21" x14ac:dyDescent="0.45">
      <c r="A23" s="12" t="s">
        <v>142</v>
      </c>
      <c r="B23" s="3" t="s">
        <v>143</v>
      </c>
      <c r="C23" s="12" t="s">
        <v>65</v>
      </c>
      <c r="E23" s="29">
        <v>4</v>
      </c>
    </row>
    <row r="24" spans="1:21" x14ac:dyDescent="0.45">
      <c r="A24" s="12" t="s">
        <v>144</v>
      </c>
      <c r="B24" s="3" t="s">
        <v>145</v>
      </c>
      <c r="C24" s="12" t="s">
        <v>146</v>
      </c>
      <c r="E24" s="30">
        <v>1000000</v>
      </c>
    </row>
    <row r="25" spans="1:21" x14ac:dyDescent="0.45">
      <c r="A25" s="12" t="s">
        <v>147</v>
      </c>
      <c r="B25" s="3" t="s">
        <v>148</v>
      </c>
      <c r="C25" s="12" t="s">
        <v>146</v>
      </c>
      <c r="E25" s="30">
        <v>1000</v>
      </c>
    </row>
    <row r="26" spans="1:21" x14ac:dyDescent="0.45">
      <c r="A26" s="12" t="s">
        <v>149</v>
      </c>
      <c r="B26" s="3" t="s">
        <v>150</v>
      </c>
      <c r="C26" s="12" t="s">
        <v>146</v>
      </c>
      <c r="E26" s="30">
        <v>1000</v>
      </c>
    </row>
    <row r="27" spans="1:21" x14ac:dyDescent="0.45">
      <c r="A27" s="12" t="s">
        <v>151</v>
      </c>
      <c r="B27" s="3" t="s">
        <v>152</v>
      </c>
      <c r="C27" s="12" t="s">
        <v>146</v>
      </c>
      <c r="E27" s="30">
        <v>10000</v>
      </c>
    </row>
    <row r="29" spans="1:21" x14ac:dyDescent="0.45">
      <c r="A29" s="21"/>
      <c r="B29" s="22" t="s">
        <v>153</v>
      </c>
      <c r="C29" s="21"/>
      <c r="D29" s="21"/>
      <c r="E29" s="21"/>
      <c r="F29" s="21"/>
      <c r="G29" s="21"/>
      <c r="H29" s="21"/>
      <c r="I29" s="21"/>
      <c r="J29" s="21"/>
      <c r="K29" s="21"/>
      <c r="L29" s="21"/>
      <c r="M29" s="21"/>
      <c r="N29" s="21"/>
      <c r="O29" s="21"/>
      <c r="P29" s="21"/>
      <c r="Q29" s="21"/>
      <c r="R29" s="21"/>
      <c r="S29" s="21"/>
      <c r="U29" s="19" t="s">
        <v>154</v>
      </c>
    </row>
    <row r="30" spans="1:21" ht="28.05" customHeight="1" x14ac:dyDescent="0.45">
      <c r="B30" s="7" t="s">
        <v>155</v>
      </c>
      <c r="C30" s="7" t="s">
        <v>63</v>
      </c>
      <c r="E30" s="18" t="s">
        <v>156</v>
      </c>
      <c r="F30" s="18"/>
      <c r="G30" s="18"/>
      <c r="H30" s="18" t="s">
        <v>157</v>
      </c>
      <c r="I30" s="18" t="s">
        <v>158</v>
      </c>
      <c r="J30" s="18" t="s">
        <v>159</v>
      </c>
      <c r="K30" s="18" t="s">
        <v>160</v>
      </c>
      <c r="L30" s="18" t="s">
        <v>161</v>
      </c>
      <c r="M30" s="18" t="s">
        <v>162</v>
      </c>
      <c r="N30" s="18" t="s">
        <v>163</v>
      </c>
      <c r="O30" s="18" t="s">
        <v>164</v>
      </c>
      <c r="P30" s="18" t="s">
        <v>165</v>
      </c>
      <c r="Q30" s="18" t="s">
        <v>166</v>
      </c>
      <c r="R30" s="18" t="s">
        <v>167</v>
      </c>
      <c r="S30" s="18" t="s">
        <v>168</v>
      </c>
    </row>
    <row r="31" spans="1:21" x14ac:dyDescent="0.45">
      <c r="A31" s="12" t="s">
        <v>169</v>
      </c>
      <c r="B31" s="3" t="s">
        <v>170</v>
      </c>
      <c r="C31" s="12" t="s">
        <v>65</v>
      </c>
      <c r="E31" s="13">
        <f>AVERAGE(Rev_Build!T11:W11)</f>
        <v>8000</v>
      </c>
      <c r="H31" s="25">
        <v>6500</v>
      </c>
      <c r="I31" s="25">
        <v>5000</v>
      </c>
      <c r="J31" s="25">
        <v>5000</v>
      </c>
      <c r="K31" s="25">
        <v>5500</v>
      </c>
      <c r="L31" s="25">
        <v>8250</v>
      </c>
      <c r="M31" s="25">
        <v>8500</v>
      </c>
      <c r="N31" s="25">
        <v>8500</v>
      </c>
      <c r="O31" s="25">
        <v>8500</v>
      </c>
      <c r="P31" s="25">
        <v>9500</v>
      </c>
      <c r="Q31" s="25">
        <v>10000</v>
      </c>
      <c r="R31" s="25">
        <v>10500</v>
      </c>
      <c r="S31" s="25">
        <v>11000</v>
      </c>
      <c r="U31" s="2" t="s">
        <v>171</v>
      </c>
    </row>
    <row r="32" spans="1:21" x14ac:dyDescent="0.45">
      <c r="A32" s="12" t="s">
        <v>172</v>
      </c>
      <c r="B32" s="3" t="s">
        <v>173</v>
      </c>
      <c r="C32" s="12" t="s">
        <v>65</v>
      </c>
      <c r="H32" s="25">
        <v>1750</v>
      </c>
      <c r="I32" s="25">
        <v>3500</v>
      </c>
      <c r="J32" s="25">
        <v>3500</v>
      </c>
      <c r="K32" s="25">
        <v>3000</v>
      </c>
      <c r="L32" s="25">
        <v>0</v>
      </c>
      <c r="M32" s="25">
        <v>0</v>
      </c>
      <c r="N32" s="25">
        <v>0</v>
      </c>
      <c r="O32" s="25">
        <v>0</v>
      </c>
      <c r="P32" s="25">
        <v>0</v>
      </c>
      <c r="Q32" s="25">
        <v>0</v>
      </c>
      <c r="R32" s="25">
        <v>0</v>
      </c>
      <c r="S32" s="25">
        <v>0</v>
      </c>
      <c r="U32" s="2" t="s">
        <v>174</v>
      </c>
    </row>
    <row r="33" spans="1:21" x14ac:dyDescent="0.45">
      <c r="A33" s="12" t="s">
        <v>175</v>
      </c>
      <c r="B33" s="3" t="s">
        <v>176</v>
      </c>
      <c r="C33" s="12" t="s">
        <v>73</v>
      </c>
      <c r="E33" s="15">
        <f>Rev_Build!W16</f>
        <v>4.8232237659550536E-2</v>
      </c>
      <c r="H33" s="31">
        <v>2.5000000000000001E-2</v>
      </c>
      <c r="I33" s="31">
        <v>0.01</v>
      </c>
      <c r="J33" s="31">
        <v>0.01</v>
      </c>
      <c r="K33" s="31">
        <v>0.01</v>
      </c>
      <c r="L33" s="31">
        <v>4.4999999999999998E-2</v>
      </c>
      <c r="M33" s="31">
        <v>0.04</v>
      </c>
      <c r="N33" s="31">
        <v>3.5000000000000003E-2</v>
      </c>
      <c r="O33" s="31">
        <v>0.03</v>
      </c>
      <c r="P33" s="31">
        <v>6.5000000000000002E-2</v>
      </c>
      <c r="Q33" s="31">
        <v>0.06</v>
      </c>
      <c r="R33" s="31">
        <v>5.5E-2</v>
      </c>
      <c r="S33" s="31">
        <v>0.05</v>
      </c>
      <c r="U33" s="2" t="s">
        <v>177</v>
      </c>
    </row>
    <row r="34" spans="1:21" x14ac:dyDescent="0.45">
      <c r="A34" s="12" t="s">
        <v>178</v>
      </c>
      <c r="B34" s="3" t="s">
        <v>179</v>
      </c>
      <c r="C34" s="12" t="s">
        <v>73</v>
      </c>
      <c r="E34" s="15">
        <f>Rev_Build!W20</f>
        <v>-1.901238374184322E-3</v>
      </c>
      <c r="H34" s="31">
        <v>-0.04</v>
      </c>
      <c r="I34" s="31">
        <v>-0.08</v>
      </c>
      <c r="J34" s="31">
        <v>-0.03</v>
      </c>
      <c r="K34" s="31">
        <v>-0.01</v>
      </c>
      <c r="L34" s="31">
        <v>-5.0000000000000001E-3</v>
      </c>
      <c r="M34" s="31">
        <v>-5.0000000000000001E-3</v>
      </c>
      <c r="N34" s="31">
        <v>0</v>
      </c>
      <c r="O34" s="31">
        <v>0</v>
      </c>
      <c r="P34" s="31">
        <v>0.01</v>
      </c>
      <c r="Q34" s="31">
        <v>1.4999999999999999E-2</v>
      </c>
      <c r="R34" s="31">
        <v>1.4999999999999999E-2</v>
      </c>
      <c r="S34" s="31">
        <v>1.4999999999999999E-2</v>
      </c>
      <c r="U34" s="2" t="s">
        <v>180</v>
      </c>
    </row>
    <row r="35" spans="1:21" x14ac:dyDescent="0.45">
      <c r="A35" s="12" t="s">
        <v>181</v>
      </c>
      <c r="B35" s="3" t="s">
        <v>182</v>
      </c>
      <c r="C35" s="12" t="s">
        <v>183</v>
      </c>
      <c r="E35" s="32">
        <f>Rev_Build!W26</f>
        <v>2.9376710587567314</v>
      </c>
      <c r="H35" s="33">
        <v>-1</v>
      </c>
      <c r="I35" s="33">
        <v>-2</v>
      </c>
      <c r="J35" s="33">
        <v>-2</v>
      </c>
      <c r="K35" s="33">
        <v>-1</v>
      </c>
      <c r="L35" s="33">
        <v>2</v>
      </c>
      <c r="M35" s="33">
        <v>1.5</v>
      </c>
      <c r="N35" s="33">
        <v>1</v>
      </c>
      <c r="O35" s="33">
        <v>1</v>
      </c>
      <c r="P35" s="33">
        <v>2.5</v>
      </c>
      <c r="Q35" s="33">
        <v>2.5</v>
      </c>
      <c r="R35" s="33">
        <v>2.5</v>
      </c>
      <c r="S35" s="33">
        <v>2</v>
      </c>
      <c r="U35" s="2" t="s">
        <v>184</v>
      </c>
    </row>
    <row r="36" spans="1:21" x14ac:dyDescent="0.45">
      <c r="A36" s="12" t="s">
        <v>185</v>
      </c>
      <c r="B36" s="3" t="s">
        <v>186</v>
      </c>
      <c r="C36" s="12" t="s">
        <v>183</v>
      </c>
      <c r="E36" s="32">
        <f>Rev_Build!W30</f>
        <v>0.70817087222219821</v>
      </c>
      <c r="H36" s="33">
        <v>1.5</v>
      </c>
      <c r="I36" s="33">
        <v>5</v>
      </c>
      <c r="J36" s="33">
        <v>2</v>
      </c>
      <c r="K36" s="33">
        <v>1</v>
      </c>
      <c r="L36" s="33">
        <v>0.5</v>
      </c>
      <c r="M36" s="33">
        <v>0.5</v>
      </c>
      <c r="N36" s="33">
        <v>0.5</v>
      </c>
      <c r="O36" s="33">
        <v>0.5</v>
      </c>
      <c r="P36" s="33">
        <v>0</v>
      </c>
      <c r="Q36" s="33">
        <v>0</v>
      </c>
      <c r="R36" s="33">
        <v>0</v>
      </c>
      <c r="S36" s="33">
        <v>0</v>
      </c>
      <c r="U36" s="2" t="s">
        <v>187</v>
      </c>
    </row>
    <row r="37" spans="1:21" x14ac:dyDescent="0.45">
      <c r="A37" s="12" t="s">
        <v>188</v>
      </c>
      <c r="B37" s="3" t="s">
        <v>189</v>
      </c>
      <c r="C37" s="12" t="s">
        <v>73</v>
      </c>
      <c r="E37" s="15">
        <f>1-SUM(Rev_Build!T41:W41)/SUM(Rev_Build!T17:W17)</f>
        <v>0.75614366729678639</v>
      </c>
      <c r="H37" s="31">
        <v>0.76</v>
      </c>
      <c r="I37" s="31">
        <v>0.75</v>
      </c>
      <c r="J37" s="31">
        <v>0.75</v>
      </c>
      <c r="K37" s="31">
        <v>0.75</v>
      </c>
      <c r="L37" s="31">
        <v>0.77500000000000002</v>
      </c>
      <c r="M37" s="31">
        <v>0.78</v>
      </c>
      <c r="N37" s="31">
        <v>0.78500000000000003</v>
      </c>
      <c r="O37" s="31">
        <v>0.78500000000000003</v>
      </c>
      <c r="P37" s="31">
        <v>0.78500000000000003</v>
      </c>
      <c r="Q37" s="31">
        <v>0.79500000000000004</v>
      </c>
      <c r="R37" s="31">
        <v>0.8</v>
      </c>
      <c r="S37" s="31">
        <v>0.80500000000000005</v>
      </c>
      <c r="U37" s="2" t="s">
        <v>190</v>
      </c>
    </row>
    <row r="38" spans="1:21" x14ac:dyDescent="0.45">
      <c r="A38" s="12" t="s">
        <v>191</v>
      </c>
      <c r="B38" s="3" t="s">
        <v>192</v>
      </c>
      <c r="C38" s="12" t="s">
        <v>193</v>
      </c>
      <c r="E38" s="14">
        <f>SUM(IS!T40:W40)/SUM(Rev_Build!T11:W11)*Thousand</f>
        <v>7.265625</v>
      </c>
      <c r="H38" s="34">
        <v>8</v>
      </c>
      <c r="I38" s="34">
        <v>9</v>
      </c>
      <c r="J38" s="34">
        <v>9.75</v>
      </c>
      <c r="K38" s="34">
        <v>10.5</v>
      </c>
      <c r="L38" s="34">
        <v>7.75</v>
      </c>
      <c r="M38" s="34">
        <v>8.5</v>
      </c>
      <c r="N38" s="34">
        <v>9.25</v>
      </c>
      <c r="O38" s="34">
        <v>10</v>
      </c>
      <c r="P38" s="34">
        <v>7.5</v>
      </c>
      <c r="Q38" s="34">
        <v>8</v>
      </c>
      <c r="R38" s="34">
        <v>8.5</v>
      </c>
      <c r="S38" s="34">
        <v>9</v>
      </c>
      <c r="U38" s="2" t="s">
        <v>194</v>
      </c>
    </row>
    <row r="39" spans="1:21" x14ac:dyDescent="0.45">
      <c r="A39" s="12" t="s">
        <v>195</v>
      </c>
      <c r="B39" s="3" t="s">
        <v>196</v>
      </c>
      <c r="C39" s="12" t="s">
        <v>73</v>
      </c>
      <c r="E39" s="15">
        <f>SUM(IS!T41:W41)/SUM(IS!P41:S41)-1</f>
        <v>0.15094339622641506</v>
      </c>
      <c r="H39" s="31">
        <v>0.15</v>
      </c>
      <c r="I39" s="31">
        <v>0.06</v>
      </c>
      <c r="J39" s="31">
        <v>0.05</v>
      </c>
      <c r="K39" s="31">
        <v>0.05</v>
      </c>
      <c r="L39" s="31">
        <v>0.18</v>
      </c>
      <c r="M39" s="31">
        <v>0.16</v>
      </c>
      <c r="N39" s="31">
        <v>0.13</v>
      </c>
      <c r="O39" s="31">
        <v>0.12</v>
      </c>
      <c r="P39" s="31">
        <v>0.2</v>
      </c>
      <c r="Q39" s="31">
        <v>0.18</v>
      </c>
      <c r="R39" s="31">
        <v>0.15</v>
      </c>
      <c r="S39" s="31">
        <v>0.12</v>
      </c>
      <c r="U39" s="2" t="s">
        <v>197</v>
      </c>
    </row>
    <row r="40" spans="1:21" x14ac:dyDescent="0.45">
      <c r="A40" s="12" t="s">
        <v>198</v>
      </c>
      <c r="B40" s="3" t="s">
        <v>199</v>
      </c>
      <c r="C40" s="12" t="s">
        <v>73</v>
      </c>
      <c r="E40" s="15">
        <f>SUM(IS!T42:W42)/SUM(IS!P42:S42)-1</f>
        <v>0.1934156378600822</v>
      </c>
      <c r="H40" s="31">
        <v>0.1</v>
      </c>
      <c r="I40" s="31">
        <v>0.04</v>
      </c>
      <c r="J40" s="31">
        <v>0.03</v>
      </c>
      <c r="K40" s="31">
        <v>0.03</v>
      </c>
      <c r="L40" s="31">
        <v>0.13</v>
      </c>
      <c r="M40" s="31">
        <v>0.13</v>
      </c>
      <c r="N40" s="31">
        <v>0.11</v>
      </c>
      <c r="O40" s="31">
        <v>0.1</v>
      </c>
      <c r="P40" s="31">
        <v>0.13</v>
      </c>
      <c r="Q40" s="31">
        <v>0.13</v>
      </c>
      <c r="R40" s="31">
        <v>0.11</v>
      </c>
      <c r="S40" s="31">
        <v>0.1</v>
      </c>
      <c r="U40" s="2" t="s">
        <v>200</v>
      </c>
    </row>
    <row r="42" spans="1:21" x14ac:dyDescent="0.45">
      <c r="A42" s="21"/>
      <c r="B42" s="22" t="s">
        <v>201</v>
      </c>
      <c r="C42" s="21"/>
      <c r="D42" s="21"/>
      <c r="E42" s="21"/>
      <c r="F42" s="21"/>
      <c r="G42" s="21"/>
      <c r="H42" s="21"/>
      <c r="I42" s="21"/>
      <c r="J42" s="21"/>
      <c r="K42" s="21"/>
      <c r="L42" s="21"/>
      <c r="M42" s="21"/>
      <c r="N42" s="21"/>
      <c r="O42" s="21"/>
      <c r="P42" s="21"/>
      <c r="Q42" s="21"/>
      <c r="R42" s="21"/>
      <c r="S42" s="21"/>
    </row>
    <row r="43" spans="1:21" x14ac:dyDescent="0.45">
      <c r="B43" s="7" t="s">
        <v>155</v>
      </c>
      <c r="E43" s="35" t="s">
        <v>156</v>
      </c>
      <c r="F43" s="35"/>
      <c r="G43" s="35"/>
      <c r="H43" s="35" t="s">
        <v>202</v>
      </c>
      <c r="I43" s="35" t="s">
        <v>203</v>
      </c>
      <c r="J43" s="35" t="s">
        <v>204</v>
      </c>
      <c r="K43" s="35" t="s">
        <v>205</v>
      </c>
    </row>
    <row r="44" spans="1:21" x14ac:dyDescent="0.45">
      <c r="A44" s="12" t="s">
        <v>206</v>
      </c>
      <c r="B44" s="3" t="s">
        <v>207</v>
      </c>
      <c r="C44" s="12" t="s">
        <v>193</v>
      </c>
      <c r="H44" s="36">
        <v>2</v>
      </c>
      <c r="I44" s="36">
        <v>2.1</v>
      </c>
      <c r="J44" s="36">
        <v>2.2000000000000002</v>
      </c>
      <c r="K44" s="36">
        <v>2.2999999999999998</v>
      </c>
      <c r="U44" s="2" t="s">
        <v>208</v>
      </c>
    </row>
    <row r="45" spans="1:21" x14ac:dyDescent="0.45">
      <c r="A45" s="12" t="s">
        <v>209</v>
      </c>
      <c r="B45" s="3" t="s">
        <v>210</v>
      </c>
      <c r="C45" s="12" t="s">
        <v>193</v>
      </c>
      <c r="E45" s="37">
        <f>SUM(Rev_Build!T34:W34)/SUM(Rev_Build!T11:W11)*Thousand</f>
        <v>5.4375</v>
      </c>
      <c r="H45" s="36">
        <v>5.4</v>
      </c>
      <c r="I45" s="36">
        <v>5.3</v>
      </c>
      <c r="J45" s="36">
        <v>5.2</v>
      </c>
      <c r="K45" s="36">
        <v>5.0999999999999996</v>
      </c>
      <c r="U45" s="2" t="s">
        <v>211</v>
      </c>
    </row>
    <row r="46" spans="1:21" x14ac:dyDescent="0.45">
      <c r="A46" s="12" t="s">
        <v>212</v>
      </c>
      <c r="B46" s="3" t="s">
        <v>213</v>
      </c>
      <c r="C46" s="12" t="s">
        <v>193</v>
      </c>
      <c r="E46" s="37">
        <f>SUM(Rev_Build!T50:W50)/SUM(Rev_Build!T11:W11)*Thousand</f>
        <v>13.53125</v>
      </c>
      <c r="H46" s="36">
        <v>13.5</v>
      </c>
      <c r="I46" s="36">
        <v>13.3</v>
      </c>
      <c r="J46" s="36">
        <v>13.1</v>
      </c>
      <c r="K46" s="36">
        <v>12.9</v>
      </c>
      <c r="U46" s="2" t="s">
        <v>214</v>
      </c>
    </row>
    <row r="47" spans="1:21" x14ac:dyDescent="0.45">
      <c r="A47" s="12" t="s">
        <v>215</v>
      </c>
      <c r="B47" s="3" t="s">
        <v>216</v>
      </c>
      <c r="C47" s="12" t="s">
        <v>128</v>
      </c>
      <c r="E47" s="14">
        <f>AVERAGE(Rev_Build!T52:W52)</f>
        <v>4.75</v>
      </c>
      <c r="H47" s="34">
        <v>4.75</v>
      </c>
      <c r="I47" s="34">
        <v>4.75</v>
      </c>
      <c r="J47" s="34">
        <v>4.75</v>
      </c>
      <c r="K47" s="34">
        <v>4.75</v>
      </c>
      <c r="U47" s="2" t="s">
        <v>217</v>
      </c>
    </row>
    <row r="48" spans="1:21" x14ac:dyDescent="0.45">
      <c r="A48" s="12" t="s">
        <v>218</v>
      </c>
      <c r="B48" s="3" t="s">
        <v>219</v>
      </c>
      <c r="C48" s="12" t="s">
        <v>128</v>
      </c>
      <c r="E48" s="14">
        <f>AVERAGE(Rev_Build!T55:W55)</f>
        <v>1.25</v>
      </c>
      <c r="H48" s="34">
        <v>1</v>
      </c>
      <c r="I48" s="34">
        <v>1</v>
      </c>
      <c r="J48" s="34">
        <v>1</v>
      </c>
      <c r="K48" s="34">
        <v>1</v>
      </c>
      <c r="U48" s="2" t="s">
        <v>220</v>
      </c>
    </row>
    <row r="49" spans="1:21" x14ac:dyDescent="0.45">
      <c r="A49" s="12" t="s">
        <v>221</v>
      </c>
      <c r="B49" s="3" t="s">
        <v>222</v>
      </c>
      <c r="C49" s="12" t="s">
        <v>128</v>
      </c>
      <c r="E49" s="14">
        <f>Rev_Build!W60</f>
        <v>10</v>
      </c>
      <c r="H49" s="34">
        <v>10</v>
      </c>
      <c r="I49" s="34">
        <v>10</v>
      </c>
      <c r="J49" s="34">
        <v>10</v>
      </c>
      <c r="K49" s="34">
        <v>10</v>
      </c>
      <c r="U49" s="2" t="s">
        <v>223</v>
      </c>
    </row>
    <row r="50" spans="1:21" x14ac:dyDescent="0.45">
      <c r="A50" s="12" t="s">
        <v>224</v>
      </c>
      <c r="B50" s="3" t="s">
        <v>225</v>
      </c>
      <c r="C50" s="12" t="s">
        <v>73</v>
      </c>
      <c r="E50" s="15">
        <f>SUM(IS!T51:W51)/SUM(Rev_Build!T58:W58)</f>
        <v>0.11095100864553314</v>
      </c>
      <c r="H50" s="31">
        <v>0.1</v>
      </c>
      <c r="I50" s="31">
        <v>0.09</v>
      </c>
      <c r="J50" s="31">
        <v>8.5000000000000006E-2</v>
      </c>
      <c r="K50" s="31">
        <v>0.08</v>
      </c>
      <c r="U50" s="2" t="s">
        <v>226</v>
      </c>
    </row>
    <row r="51" spans="1:21" x14ac:dyDescent="0.45">
      <c r="A51" s="12" t="s">
        <v>227</v>
      </c>
      <c r="B51" s="3" t="s">
        <v>228</v>
      </c>
      <c r="C51" s="12" t="s">
        <v>128</v>
      </c>
      <c r="E51" s="14">
        <f>AVERAGE(IS!T53:W53)</f>
        <v>5.5</v>
      </c>
      <c r="H51" s="34">
        <v>5.5</v>
      </c>
      <c r="I51" s="34">
        <v>5.5</v>
      </c>
      <c r="J51" s="34">
        <v>5.5</v>
      </c>
      <c r="K51" s="34">
        <v>5.5</v>
      </c>
      <c r="U51" s="2" t="s">
        <v>229</v>
      </c>
    </row>
    <row r="52" spans="1:21" x14ac:dyDescent="0.45">
      <c r="A52" s="12" t="s">
        <v>230</v>
      </c>
      <c r="B52" s="3" t="s">
        <v>231</v>
      </c>
      <c r="C52" s="12" t="s">
        <v>128</v>
      </c>
      <c r="E52" s="14">
        <f>AVERAGE(IS!T26:W26)</f>
        <v>1</v>
      </c>
      <c r="H52" s="34">
        <v>0</v>
      </c>
      <c r="I52" s="34">
        <v>0</v>
      </c>
      <c r="J52" s="34">
        <v>0</v>
      </c>
      <c r="K52" s="34">
        <v>0</v>
      </c>
      <c r="U52" s="2" t="s">
        <v>232</v>
      </c>
    </row>
    <row r="53" spans="1:21" x14ac:dyDescent="0.45">
      <c r="A53" s="12" t="s">
        <v>233</v>
      </c>
      <c r="B53" s="3" t="s">
        <v>234</v>
      </c>
      <c r="C53" s="12" t="s">
        <v>128</v>
      </c>
      <c r="H53" s="34">
        <v>0</v>
      </c>
      <c r="I53" s="34">
        <v>0</v>
      </c>
      <c r="J53" s="34">
        <v>0</v>
      </c>
      <c r="K53" s="34">
        <v>0</v>
      </c>
      <c r="U53" s="2" t="s">
        <v>235</v>
      </c>
    </row>
    <row r="54" spans="1:21" x14ac:dyDescent="0.45">
      <c r="A54" s="12" t="s">
        <v>236</v>
      </c>
      <c r="B54" s="3" t="s">
        <v>237</v>
      </c>
      <c r="C54" s="12" t="s">
        <v>73</v>
      </c>
      <c r="E54" s="38">
        <f>SUM(IS!T31:W31)/AVERAGE(Schedules!T48:W48)</f>
        <v>2.8415300546448089E-2</v>
      </c>
      <c r="H54" s="39">
        <v>2.5000000000000001E-2</v>
      </c>
      <c r="I54" s="39">
        <v>2.4E-2</v>
      </c>
      <c r="J54" s="39">
        <v>2.3E-2</v>
      </c>
      <c r="K54" s="39">
        <v>2.3E-2</v>
      </c>
      <c r="U54" s="2" t="s">
        <v>238</v>
      </c>
    </row>
    <row r="55" spans="1:21" x14ac:dyDescent="0.45">
      <c r="A55" s="12" t="s">
        <v>239</v>
      </c>
      <c r="B55" s="3" t="s">
        <v>240</v>
      </c>
      <c r="C55" s="12" t="s">
        <v>73</v>
      </c>
      <c r="E55" s="15">
        <f>SUM(IS!T34:W34)/SUM(IS!T33:W33)</f>
        <v>2.4096385542168676E-2</v>
      </c>
      <c r="H55" s="31">
        <v>0.05</v>
      </c>
      <c r="I55" s="31">
        <v>0.06</v>
      </c>
      <c r="J55" s="31">
        <v>0.08</v>
      </c>
      <c r="K55" s="31">
        <v>0.1</v>
      </c>
      <c r="U55" s="2" t="s">
        <v>241</v>
      </c>
    </row>
    <row r="56" spans="1:21" x14ac:dyDescent="0.45">
      <c r="A56" s="12" t="s">
        <v>242</v>
      </c>
      <c r="B56" s="3" t="s">
        <v>243</v>
      </c>
      <c r="C56" s="12" t="s">
        <v>73</v>
      </c>
      <c r="E56" s="38">
        <f>SUM(Schedules!T35:W35)/SUM(Schedules!T11:W11)</f>
        <v>8.6713697824808943E-3</v>
      </c>
      <c r="H56" s="39">
        <v>8.5000000000000006E-3</v>
      </c>
      <c r="I56" s="39">
        <v>8.5000000000000006E-3</v>
      </c>
      <c r="J56" s="39">
        <v>8.5000000000000006E-3</v>
      </c>
      <c r="K56" s="39">
        <v>8.5000000000000006E-3</v>
      </c>
      <c r="U56" s="2" t="s">
        <v>244</v>
      </c>
    </row>
    <row r="57" spans="1:21" x14ac:dyDescent="0.45">
      <c r="A57" s="12" t="s">
        <v>245</v>
      </c>
      <c r="B57" s="3" t="s">
        <v>246</v>
      </c>
      <c r="C57" s="12" t="s">
        <v>73</v>
      </c>
      <c r="E57" s="15">
        <f>AVERAGE(Schedules!T39:W39)</f>
        <v>0.10741826156299841</v>
      </c>
      <c r="H57" s="31">
        <v>9.5000000000000001E-2</v>
      </c>
      <c r="I57" s="31">
        <v>9.5000000000000001E-2</v>
      </c>
      <c r="J57" s="31">
        <v>9.5000000000000001E-2</v>
      </c>
      <c r="K57" s="31">
        <v>9.5000000000000001E-2</v>
      </c>
      <c r="U57" s="2" t="s">
        <v>247</v>
      </c>
    </row>
    <row r="58" spans="1:21" x14ac:dyDescent="0.45">
      <c r="A58" s="12" t="s">
        <v>248</v>
      </c>
      <c r="B58" s="3" t="s">
        <v>249</v>
      </c>
      <c r="C58" s="12" t="s">
        <v>128</v>
      </c>
      <c r="E58" s="13">
        <f>-AVERAGE(Schedules!T54:W54)</f>
        <v>140.5</v>
      </c>
      <c r="H58" s="25">
        <v>150</v>
      </c>
      <c r="I58" s="25">
        <v>150</v>
      </c>
      <c r="J58" s="25">
        <v>150</v>
      </c>
      <c r="K58" s="25">
        <v>150</v>
      </c>
      <c r="U58" s="2" t="s">
        <v>250</v>
      </c>
    </row>
    <row r="59" spans="1:21" x14ac:dyDescent="0.45">
      <c r="A59" s="12" t="s">
        <v>251</v>
      </c>
      <c r="B59" s="3" t="s">
        <v>252</v>
      </c>
      <c r="C59" s="12" t="s">
        <v>128</v>
      </c>
      <c r="H59" s="25">
        <v>0</v>
      </c>
      <c r="I59" s="25">
        <v>0</v>
      </c>
      <c r="J59" s="25">
        <v>0</v>
      </c>
      <c r="K59" s="25">
        <v>0</v>
      </c>
      <c r="U59" s="2" t="s">
        <v>253</v>
      </c>
    </row>
    <row r="60" spans="1:21" x14ac:dyDescent="0.45">
      <c r="A60" s="12" t="s">
        <v>254</v>
      </c>
      <c r="B60" s="3" t="s">
        <v>255</v>
      </c>
      <c r="C60" s="12" t="s">
        <v>128</v>
      </c>
      <c r="H60" s="25">
        <v>0</v>
      </c>
      <c r="I60" s="25">
        <v>0</v>
      </c>
      <c r="J60" s="25">
        <v>0</v>
      </c>
      <c r="K60" s="25">
        <v>0</v>
      </c>
      <c r="U60" s="2" t="s">
        <v>256</v>
      </c>
    </row>
    <row r="61" spans="1:21" x14ac:dyDescent="0.45">
      <c r="A61" s="12" t="s">
        <v>257</v>
      </c>
      <c r="B61" s="3" t="s">
        <v>258</v>
      </c>
      <c r="C61" s="12" t="s">
        <v>259</v>
      </c>
      <c r="E61" s="32">
        <f>AVERAGE(Schedules!T15:W15)</f>
        <v>7.0909998938467522</v>
      </c>
      <c r="H61" s="33">
        <v>7</v>
      </c>
      <c r="I61" s="33">
        <v>7</v>
      </c>
      <c r="J61" s="33">
        <v>7</v>
      </c>
      <c r="K61" s="33">
        <v>7</v>
      </c>
      <c r="U61" s="2" t="s">
        <v>260</v>
      </c>
    </row>
    <row r="62" spans="1:21" x14ac:dyDescent="0.45">
      <c r="A62" s="12" t="s">
        <v>261</v>
      </c>
      <c r="B62" s="3" t="s">
        <v>262</v>
      </c>
      <c r="C62" s="12" t="s">
        <v>259</v>
      </c>
      <c r="E62" s="32">
        <f>AVERAGE(Schedules!T17:W17)</f>
        <v>118.78035411100024</v>
      </c>
      <c r="H62" s="33">
        <v>165</v>
      </c>
      <c r="I62" s="33">
        <v>130</v>
      </c>
      <c r="J62" s="33">
        <v>110</v>
      </c>
      <c r="K62" s="33">
        <v>110</v>
      </c>
      <c r="U62" s="2" t="s">
        <v>263</v>
      </c>
    </row>
    <row r="63" spans="1:21" x14ac:dyDescent="0.45">
      <c r="A63" s="12" t="s">
        <v>264</v>
      </c>
      <c r="B63" s="3" t="s">
        <v>265</v>
      </c>
      <c r="C63" s="12" t="s">
        <v>259</v>
      </c>
      <c r="E63" s="32">
        <f>AVERAGE(Schedules!T21:W21)</f>
        <v>3.8360203958588883</v>
      </c>
      <c r="H63" s="33">
        <v>3.8</v>
      </c>
      <c r="I63" s="33">
        <v>3.8</v>
      </c>
      <c r="J63" s="33">
        <v>3.8</v>
      </c>
      <c r="K63" s="33">
        <v>3.8</v>
      </c>
      <c r="U63" s="2" t="s">
        <v>260</v>
      </c>
    </row>
    <row r="64" spans="1:21" x14ac:dyDescent="0.45">
      <c r="A64" s="12" t="s">
        <v>266</v>
      </c>
      <c r="B64" s="3" t="s">
        <v>267</v>
      </c>
      <c r="C64" s="12" t="s">
        <v>73</v>
      </c>
      <c r="E64" s="15">
        <f>AVERAGE(Schedules!T23:W23)</f>
        <v>0.26543175559806959</v>
      </c>
      <c r="H64" s="31">
        <v>0.26500000000000001</v>
      </c>
      <c r="I64" s="31">
        <v>0.26500000000000001</v>
      </c>
      <c r="J64" s="31">
        <v>0.26500000000000001</v>
      </c>
      <c r="K64" s="31">
        <v>0.26500000000000001</v>
      </c>
      <c r="U64" s="2" t="s">
        <v>260</v>
      </c>
    </row>
    <row r="65" spans="1:21" x14ac:dyDescent="0.45">
      <c r="A65" s="12" t="s">
        <v>268</v>
      </c>
      <c r="B65" s="3" t="s">
        <v>269</v>
      </c>
      <c r="C65" s="12" t="s">
        <v>73</v>
      </c>
      <c r="E65" s="15">
        <f>AVERAGE(Schedules!T19:W19)</f>
        <v>0.17397274621309633</v>
      </c>
      <c r="H65" s="31">
        <v>0.19</v>
      </c>
      <c r="I65" s="31">
        <v>0.19</v>
      </c>
      <c r="J65" s="31">
        <v>0.19</v>
      </c>
      <c r="K65" s="31">
        <v>0.19</v>
      </c>
      <c r="U65" s="2" t="s">
        <v>270</v>
      </c>
    </row>
    <row r="66" spans="1:21" x14ac:dyDescent="0.45">
      <c r="A66" s="12" t="s">
        <v>271</v>
      </c>
      <c r="B66" s="3" t="s">
        <v>272</v>
      </c>
      <c r="C66" s="12" t="s">
        <v>73</v>
      </c>
      <c r="E66" s="15">
        <f>AVERAGE(Schedules!T27:W27)</f>
        <v>0.10160471006557645</v>
      </c>
      <c r="H66" s="31">
        <v>9.5000000000000001E-2</v>
      </c>
      <c r="I66" s="31">
        <v>9.5000000000000001E-2</v>
      </c>
      <c r="J66" s="31">
        <v>9.5000000000000001E-2</v>
      </c>
      <c r="K66" s="31">
        <v>9.5000000000000001E-2</v>
      </c>
      <c r="U66" s="2" t="s">
        <v>273</v>
      </c>
    </row>
    <row r="67" spans="1:21" x14ac:dyDescent="0.45">
      <c r="A67" s="12" t="s">
        <v>274</v>
      </c>
      <c r="B67" s="3" t="s">
        <v>275</v>
      </c>
      <c r="C67" s="12" t="s">
        <v>73</v>
      </c>
      <c r="E67" s="15">
        <f>AVERAGE(Schedules!T25:W25)</f>
        <v>0.71445307650094814</v>
      </c>
      <c r="H67" s="31">
        <v>0.71</v>
      </c>
      <c r="I67" s="31">
        <v>0.71</v>
      </c>
      <c r="J67" s="31">
        <v>0.71</v>
      </c>
      <c r="K67" s="31">
        <v>0.71</v>
      </c>
      <c r="U67" s="2" t="s">
        <v>276</v>
      </c>
    </row>
  </sheetData>
  <pageMargins left="0.75" right="0.75" top="1" bottom="1" header="0.5" footer="0.5"/>
  <pageSetup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K51"/>
  <sheetViews>
    <sheetView showGridLines="0" zoomScale="90" workbookViewId="0">
      <pane xSplit="4" ySplit="8" topLeftCell="E9" activePane="bottomRight" state="frozen"/>
      <selection pane="topRight"/>
      <selection pane="bottomLeft"/>
      <selection pane="bottomRight"/>
    </sheetView>
  </sheetViews>
  <sheetFormatPr defaultRowHeight="14.25" x14ac:dyDescent="0.45"/>
  <cols>
    <col min="1" max="1" width="13" customWidth="1"/>
    <col min="2" max="2" width="50" customWidth="1"/>
    <col min="3" max="3" width="11" customWidth="1"/>
    <col min="4" max="4" width="3" customWidth="1"/>
    <col min="5" max="37" width="10" customWidth="1"/>
  </cols>
  <sheetData>
    <row r="1" spans="1:37" ht="18" x14ac:dyDescent="0.55000000000000004">
      <c r="A1" s="1" t="s">
        <v>277</v>
      </c>
    </row>
    <row r="2" spans="1:37" x14ac:dyDescent="0.45">
      <c r="A2" s="2" t="s">
        <v>278</v>
      </c>
    </row>
    <row r="4" spans="1:37" x14ac:dyDescent="0.45">
      <c r="A4" s="12" t="s">
        <v>279</v>
      </c>
      <c r="B4" s="4" t="s">
        <v>92</v>
      </c>
      <c r="C4" s="12"/>
      <c r="E4" s="40" t="str">
        <f t="shared" ref="E4:AK4" si="0">"Q"&amp;E7&amp;"'"&amp;RIGHT(E6,2)</f>
        <v>Q4'21</v>
      </c>
      <c r="F4" s="40" t="str">
        <f t="shared" si="0"/>
        <v>Q1'22</v>
      </c>
      <c r="G4" s="40" t="str">
        <f t="shared" si="0"/>
        <v>Q2'22</v>
      </c>
      <c r="H4" s="40" t="str">
        <f t="shared" si="0"/>
        <v>Q3'22</v>
      </c>
      <c r="I4" s="40" t="str">
        <f t="shared" si="0"/>
        <v>Q4'22</v>
      </c>
      <c r="J4" s="40" t="str">
        <f t="shared" si="0"/>
        <v>Q1'23</v>
      </c>
      <c r="K4" s="40" t="str">
        <f t="shared" si="0"/>
        <v>Q2'23</v>
      </c>
      <c r="L4" s="40" t="str">
        <f t="shared" si="0"/>
        <v>Q3'23</v>
      </c>
      <c r="M4" s="40" t="str">
        <f t="shared" si="0"/>
        <v>Q4'23</v>
      </c>
      <c r="N4" s="40" t="str">
        <f t="shared" si="0"/>
        <v>Q1'24</v>
      </c>
      <c r="O4" s="40" t="str">
        <f t="shared" si="0"/>
        <v>Q2'24</v>
      </c>
      <c r="P4" s="40" t="str">
        <f t="shared" si="0"/>
        <v>Q3'24</v>
      </c>
      <c r="Q4" s="40" t="str">
        <f t="shared" si="0"/>
        <v>Q4'24</v>
      </c>
      <c r="R4" s="40" t="str">
        <f t="shared" si="0"/>
        <v>Q1'25</v>
      </c>
      <c r="S4" s="40" t="str">
        <f t="shared" si="0"/>
        <v>Q2'25</v>
      </c>
      <c r="T4" s="40" t="str">
        <f t="shared" si="0"/>
        <v>Q3'25</v>
      </c>
      <c r="U4" s="40" t="str">
        <f t="shared" si="0"/>
        <v>Q4'25</v>
      </c>
      <c r="V4" s="40" t="str">
        <f t="shared" si="0"/>
        <v>Q1'26</v>
      </c>
      <c r="W4" s="40" t="str">
        <f t="shared" si="0"/>
        <v>Q2'26</v>
      </c>
      <c r="X4" s="41" t="str">
        <f t="shared" si="0"/>
        <v>Q3'26</v>
      </c>
      <c r="Y4" s="41" t="str">
        <f t="shared" si="0"/>
        <v>Q4'26</v>
      </c>
      <c r="Z4" s="41" t="str">
        <f t="shared" si="0"/>
        <v>Q1'27</v>
      </c>
      <c r="AA4" s="41" t="str">
        <f t="shared" si="0"/>
        <v>Q2'27</v>
      </c>
      <c r="AB4" s="41" t="str">
        <f t="shared" si="0"/>
        <v>Q3'27</v>
      </c>
      <c r="AC4" s="41" t="str">
        <f t="shared" si="0"/>
        <v>Q4'27</v>
      </c>
      <c r="AD4" s="41" t="str">
        <f t="shared" si="0"/>
        <v>Q1'28</v>
      </c>
      <c r="AE4" s="41" t="str">
        <f t="shared" si="0"/>
        <v>Q2'28</v>
      </c>
      <c r="AF4" s="41" t="str">
        <f t="shared" si="0"/>
        <v>Q3'28</v>
      </c>
      <c r="AG4" s="41" t="str">
        <f t="shared" si="0"/>
        <v>Q4'28</v>
      </c>
      <c r="AH4" s="41" t="str">
        <f t="shared" si="0"/>
        <v>Q1'29</v>
      </c>
      <c r="AI4" s="41" t="str">
        <f t="shared" si="0"/>
        <v>Q2'29</v>
      </c>
      <c r="AJ4" s="41" t="str">
        <f t="shared" si="0"/>
        <v>Q3'29</v>
      </c>
      <c r="AK4" s="41" t="str">
        <f t="shared" si="0"/>
        <v>Q4'29</v>
      </c>
    </row>
    <row r="5" spans="1:37" x14ac:dyDescent="0.45">
      <c r="A5" s="12" t="s">
        <v>280</v>
      </c>
      <c r="B5" s="3" t="s">
        <v>281</v>
      </c>
      <c r="C5" s="12"/>
      <c r="E5" s="42" t="str">
        <f t="shared" ref="E5:AK5" si="1">IF(E8&lt;=LastActualEnd,"A","F")</f>
        <v>A</v>
      </c>
      <c r="F5" s="42" t="str">
        <f t="shared" si="1"/>
        <v>A</v>
      </c>
      <c r="G5" s="42" t="str">
        <f t="shared" si="1"/>
        <v>A</v>
      </c>
      <c r="H5" s="42" t="str">
        <f t="shared" si="1"/>
        <v>A</v>
      </c>
      <c r="I5" s="42" t="str">
        <f t="shared" si="1"/>
        <v>A</v>
      </c>
      <c r="J5" s="42" t="str">
        <f t="shared" si="1"/>
        <v>A</v>
      </c>
      <c r="K5" s="42" t="str">
        <f t="shared" si="1"/>
        <v>A</v>
      </c>
      <c r="L5" s="42" t="str">
        <f t="shared" si="1"/>
        <v>A</v>
      </c>
      <c r="M5" s="42" t="str">
        <f t="shared" si="1"/>
        <v>A</v>
      </c>
      <c r="N5" s="42" t="str">
        <f t="shared" si="1"/>
        <v>A</v>
      </c>
      <c r="O5" s="42" t="str">
        <f t="shared" si="1"/>
        <v>A</v>
      </c>
      <c r="P5" s="42" t="str">
        <f t="shared" si="1"/>
        <v>A</v>
      </c>
      <c r="Q5" s="42" t="str">
        <f t="shared" si="1"/>
        <v>A</v>
      </c>
      <c r="R5" s="42" t="str">
        <f t="shared" si="1"/>
        <v>A</v>
      </c>
      <c r="S5" s="42" t="str">
        <f t="shared" si="1"/>
        <v>A</v>
      </c>
      <c r="T5" s="42" t="str">
        <f t="shared" si="1"/>
        <v>A</v>
      </c>
      <c r="U5" s="42" t="str">
        <f t="shared" si="1"/>
        <v>A</v>
      </c>
      <c r="V5" s="42" t="str">
        <f t="shared" si="1"/>
        <v>A</v>
      </c>
      <c r="W5" s="42" t="str">
        <f t="shared" si="1"/>
        <v>A</v>
      </c>
      <c r="X5" s="43" t="str">
        <f t="shared" si="1"/>
        <v>F</v>
      </c>
      <c r="Y5" s="43" t="str">
        <f t="shared" si="1"/>
        <v>F</v>
      </c>
      <c r="Z5" s="43" t="str">
        <f t="shared" si="1"/>
        <v>F</v>
      </c>
      <c r="AA5" s="43" t="str">
        <f t="shared" si="1"/>
        <v>F</v>
      </c>
      <c r="AB5" s="43" t="str">
        <f t="shared" si="1"/>
        <v>F</v>
      </c>
      <c r="AC5" s="43" t="str">
        <f t="shared" si="1"/>
        <v>F</v>
      </c>
      <c r="AD5" s="43" t="str">
        <f t="shared" si="1"/>
        <v>F</v>
      </c>
      <c r="AE5" s="43" t="str">
        <f t="shared" si="1"/>
        <v>F</v>
      </c>
      <c r="AF5" s="43" t="str">
        <f t="shared" si="1"/>
        <v>F</v>
      </c>
      <c r="AG5" s="43" t="str">
        <f t="shared" si="1"/>
        <v>F</v>
      </c>
      <c r="AH5" s="43" t="str">
        <f t="shared" si="1"/>
        <v>F</v>
      </c>
      <c r="AI5" s="43" t="str">
        <f t="shared" si="1"/>
        <v>F</v>
      </c>
      <c r="AJ5" s="43" t="str">
        <f t="shared" si="1"/>
        <v>F</v>
      </c>
      <c r="AK5" s="43" t="str">
        <f t="shared" si="1"/>
        <v>F</v>
      </c>
    </row>
    <row r="6" spans="1:37" x14ac:dyDescent="0.45">
      <c r="A6" s="12" t="s">
        <v>282</v>
      </c>
      <c r="B6" s="3" t="s">
        <v>97</v>
      </c>
      <c r="C6" s="12"/>
      <c r="E6" s="28">
        <f t="shared" ref="E6:AK6" si="2">YEAR(E8)</f>
        <v>2021</v>
      </c>
      <c r="F6" s="28">
        <f t="shared" si="2"/>
        <v>2022</v>
      </c>
      <c r="G6" s="28">
        <f t="shared" si="2"/>
        <v>2022</v>
      </c>
      <c r="H6" s="28">
        <f t="shared" si="2"/>
        <v>2022</v>
      </c>
      <c r="I6" s="28">
        <f t="shared" si="2"/>
        <v>2022</v>
      </c>
      <c r="J6" s="28">
        <f t="shared" si="2"/>
        <v>2023</v>
      </c>
      <c r="K6" s="28">
        <f t="shared" si="2"/>
        <v>2023</v>
      </c>
      <c r="L6" s="28">
        <f t="shared" si="2"/>
        <v>2023</v>
      </c>
      <c r="M6" s="28">
        <f t="shared" si="2"/>
        <v>2023</v>
      </c>
      <c r="N6" s="28">
        <f t="shared" si="2"/>
        <v>2024</v>
      </c>
      <c r="O6" s="28">
        <f t="shared" si="2"/>
        <v>2024</v>
      </c>
      <c r="P6" s="28">
        <f t="shared" si="2"/>
        <v>2024</v>
      </c>
      <c r="Q6" s="28">
        <f t="shared" si="2"/>
        <v>2024</v>
      </c>
      <c r="R6" s="28">
        <f t="shared" si="2"/>
        <v>2025</v>
      </c>
      <c r="S6" s="28">
        <f t="shared" si="2"/>
        <v>2025</v>
      </c>
      <c r="T6" s="28">
        <f t="shared" si="2"/>
        <v>2025</v>
      </c>
      <c r="U6" s="28">
        <f t="shared" si="2"/>
        <v>2025</v>
      </c>
      <c r="V6" s="28">
        <f t="shared" si="2"/>
        <v>2026</v>
      </c>
      <c r="W6" s="28">
        <f t="shared" si="2"/>
        <v>2026</v>
      </c>
      <c r="X6" s="28">
        <f t="shared" si="2"/>
        <v>2026</v>
      </c>
      <c r="Y6" s="28">
        <f t="shared" si="2"/>
        <v>2026</v>
      </c>
      <c r="Z6" s="28">
        <f t="shared" si="2"/>
        <v>2027</v>
      </c>
      <c r="AA6" s="28">
        <f t="shared" si="2"/>
        <v>2027</v>
      </c>
      <c r="AB6" s="28">
        <f t="shared" si="2"/>
        <v>2027</v>
      </c>
      <c r="AC6" s="28">
        <f t="shared" si="2"/>
        <v>2027</v>
      </c>
      <c r="AD6" s="28">
        <f t="shared" si="2"/>
        <v>2028</v>
      </c>
      <c r="AE6" s="28">
        <f t="shared" si="2"/>
        <v>2028</v>
      </c>
      <c r="AF6" s="28">
        <f t="shared" si="2"/>
        <v>2028</v>
      </c>
      <c r="AG6" s="28">
        <f t="shared" si="2"/>
        <v>2028</v>
      </c>
      <c r="AH6" s="28">
        <f t="shared" si="2"/>
        <v>2029</v>
      </c>
      <c r="AI6" s="28">
        <f t="shared" si="2"/>
        <v>2029</v>
      </c>
      <c r="AJ6" s="28">
        <f t="shared" si="2"/>
        <v>2029</v>
      </c>
      <c r="AK6" s="28">
        <f t="shared" si="2"/>
        <v>2029</v>
      </c>
    </row>
    <row r="7" spans="1:37" x14ac:dyDescent="0.45">
      <c r="A7" s="12" t="s">
        <v>283</v>
      </c>
      <c r="B7" s="3" t="s">
        <v>284</v>
      </c>
      <c r="C7" s="12"/>
      <c r="E7" s="28">
        <f t="shared" ref="E7:AK7" si="3">ROUNDUP(MONTH(E8)/MonthsPerQuarter,0)</f>
        <v>4</v>
      </c>
      <c r="F7" s="28">
        <f t="shared" si="3"/>
        <v>1</v>
      </c>
      <c r="G7" s="28">
        <f t="shared" si="3"/>
        <v>2</v>
      </c>
      <c r="H7" s="28">
        <f t="shared" si="3"/>
        <v>3</v>
      </c>
      <c r="I7" s="28">
        <f t="shared" si="3"/>
        <v>4</v>
      </c>
      <c r="J7" s="28">
        <f t="shared" si="3"/>
        <v>1</v>
      </c>
      <c r="K7" s="28">
        <f t="shared" si="3"/>
        <v>2</v>
      </c>
      <c r="L7" s="28">
        <f t="shared" si="3"/>
        <v>3</v>
      </c>
      <c r="M7" s="28">
        <f t="shared" si="3"/>
        <v>4</v>
      </c>
      <c r="N7" s="28">
        <f t="shared" si="3"/>
        <v>1</v>
      </c>
      <c r="O7" s="28">
        <f t="shared" si="3"/>
        <v>2</v>
      </c>
      <c r="P7" s="28">
        <f t="shared" si="3"/>
        <v>3</v>
      </c>
      <c r="Q7" s="28">
        <f t="shared" si="3"/>
        <v>4</v>
      </c>
      <c r="R7" s="28">
        <f t="shared" si="3"/>
        <v>1</v>
      </c>
      <c r="S7" s="28">
        <f t="shared" si="3"/>
        <v>2</v>
      </c>
      <c r="T7" s="28">
        <f t="shared" si="3"/>
        <v>3</v>
      </c>
      <c r="U7" s="28">
        <f t="shared" si="3"/>
        <v>4</v>
      </c>
      <c r="V7" s="28">
        <f t="shared" si="3"/>
        <v>1</v>
      </c>
      <c r="W7" s="28">
        <f t="shared" si="3"/>
        <v>2</v>
      </c>
      <c r="X7" s="28">
        <f t="shared" si="3"/>
        <v>3</v>
      </c>
      <c r="Y7" s="28">
        <f t="shared" si="3"/>
        <v>4</v>
      </c>
      <c r="Z7" s="28">
        <f t="shared" si="3"/>
        <v>1</v>
      </c>
      <c r="AA7" s="28">
        <f t="shared" si="3"/>
        <v>2</v>
      </c>
      <c r="AB7" s="28">
        <f t="shared" si="3"/>
        <v>3</v>
      </c>
      <c r="AC7" s="28">
        <f t="shared" si="3"/>
        <v>4</v>
      </c>
      <c r="AD7" s="28">
        <f t="shared" si="3"/>
        <v>1</v>
      </c>
      <c r="AE7" s="28">
        <f t="shared" si="3"/>
        <v>2</v>
      </c>
      <c r="AF7" s="28">
        <f t="shared" si="3"/>
        <v>3</v>
      </c>
      <c r="AG7" s="28">
        <f t="shared" si="3"/>
        <v>4</v>
      </c>
      <c r="AH7" s="28">
        <f t="shared" si="3"/>
        <v>1</v>
      </c>
      <c r="AI7" s="28">
        <f t="shared" si="3"/>
        <v>2</v>
      </c>
      <c r="AJ7" s="28">
        <f t="shared" si="3"/>
        <v>3</v>
      </c>
      <c r="AK7" s="28">
        <f t="shared" si="3"/>
        <v>4</v>
      </c>
    </row>
    <row r="8" spans="1:37" x14ac:dyDescent="0.45">
      <c r="A8" s="12" t="s">
        <v>285</v>
      </c>
      <c r="B8" s="3" t="s">
        <v>286</v>
      </c>
      <c r="C8" s="12" t="s">
        <v>109</v>
      </c>
      <c r="E8" s="44">
        <f>FirstPeriodEnd</f>
        <v>44561</v>
      </c>
      <c r="F8" s="44">
        <f t="shared" ref="F8:AK8" si="4">EOMONTH(E8,MonthsPerQuarter)</f>
        <v>44651</v>
      </c>
      <c r="G8" s="44">
        <f t="shared" si="4"/>
        <v>44742</v>
      </c>
      <c r="H8" s="44">
        <f t="shared" si="4"/>
        <v>44834</v>
      </c>
      <c r="I8" s="44">
        <f t="shared" si="4"/>
        <v>44926</v>
      </c>
      <c r="J8" s="44">
        <f t="shared" si="4"/>
        <v>45016</v>
      </c>
      <c r="K8" s="44">
        <f t="shared" si="4"/>
        <v>45107</v>
      </c>
      <c r="L8" s="44">
        <f t="shared" si="4"/>
        <v>45199</v>
      </c>
      <c r="M8" s="44">
        <f t="shared" si="4"/>
        <v>45291</v>
      </c>
      <c r="N8" s="44">
        <f t="shared" si="4"/>
        <v>45382</v>
      </c>
      <c r="O8" s="44">
        <f t="shared" si="4"/>
        <v>45473</v>
      </c>
      <c r="P8" s="44">
        <f t="shared" si="4"/>
        <v>45565</v>
      </c>
      <c r="Q8" s="44">
        <f t="shared" si="4"/>
        <v>45657</v>
      </c>
      <c r="R8" s="44">
        <f t="shared" si="4"/>
        <v>45747</v>
      </c>
      <c r="S8" s="44">
        <f t="shared" si="4"/>
        <v>45838</v>
      </c>
      <c r="T8" s="44">
        <f t="shared" si="4"/>
        <v>45930</v>
      </c>
      <c r="U8" s="44">
        <f t="shared" si="4"/>
        <v>46022</v>
      </c>
      <c r="V8" s="44">
        <f t="shared" si="4"/>
        <v>46112</v>
      </c>
      <c r="W8" s="44">
        <f t="shared" si="4"/>
        <v>46203</v>
      </c>
      <c r="X8" s="44">
        <f t="shared" si="4"/>
        <v>46295</v>
      </c>
      <c r="Y8" s="44">
        <f t="shared" si="4"/>
        <v>46387</v>
      </c>
      <c r="Z8" s="44">
        <f t="shared" si="4"/>
        <v>46477</v>
      </c>
      <c r="AA8" s="44">
        <f t="shared" si="4"/>
        <v>46568</v>
      </c>
      <c r="AB8" s="44">
        <f t="shared" si="4"/>
        <v>46660</v>
      </c>
      <c r="AC8" s="44">
        <f t="shared" si="4"/>
        <v>46752</v>
      </c>
      <c r="AD8" s="44">
        <f t="shared" si="4"/>
        <v>46843</v>
      </c>
      <c r="AE8" s="44">
        <f t="shared" si="4"/>
        <v>46934</v>
      </c>
      <c r="AF8" s="44">
        <f t="shared" si="4"/>
        <v>47026</v>
      </c>
      <c r="AG8" s="44">
        <f t="shared" si="4"/>
        <v>47118</v>
      </c>
      <c r="AH8" s="44">
        <f t="shared" si="4"/>
        <v>47208</v>
      </c>
      <c r="AI8" s="44">
        <f t="shared" si="4"/>
        <v>47299</v>
      </c>
      <c r="AJ8" s="44">
        <f t="shared" si="4"/>
        <v>47391</v>
      </c>
      <c r="AK8" s="44">
        <f t="shared" si="4"/>
        <v>47483</v>
      </c>
    </row>
    <row r="9" spans="1:37" x14ac:dyDescent="0.45">
      <c r="A9" s="12" t="s">
        <v>259</v>
      </c>
      <c r="B9" s="3" t="s">
        <v>287</v>
      </c>
      <c r="C9" s="12" t="s">
        <v>259</v>
      </c>
      <c r="E9" s="28">
        <f t="shared" ref="E9:AK9" si="5">E8-EOMONTH(E8,-MonthsPerQuarter)</f>
        <v>92</v>
      </c>
      <c r="F9" s="28">
        <f t="shared" si="5"/>
        <v>90</v>
      </c>
      <c r="G9" s="28">
        <f t="shared" si="5"/>
        <v>91</v>
      </c>
      <c r="H9" s="28">
        <f t="shared" si="5"/>
        <v>92</v>
      </c>
      <c r="I9" s="28">
        <f t="shared" si="5"/>
        <v>92</v>
      </c>
      <c r="J9" s="28">
        <f t="shared" si="5"/>
        <v>90</v>
      </c>
      <c r="K9" s="28">
        <f t="shared" si="5"/>
        <v>91</v>
      </c>
      <c r="L9" s="28">
        <f t="shared" si="5"/>
        <v>92</v>
      </c>
      <c r="M9" s="28">
        <f t="shared" si="5"/>
        <v>92</v>
      </c>
      <c r="N9" s="28">
        <f t="shared" si="5"/>
        <v>91</v>
      </c>
      <c r="O9" s="28">
        <f t="shared" si="5"/>
        <v>91</v>
      </c>
      <c r="P9" s="28">
        <f t="shared" si="5"/>
        <v>92</v>
      </c>
      <c r="Q9" s="28">
        <f t="shared" si="5"/>
        <v>92</v>
      </c>
      <c r="R9" s="28">
        <f t="shared" si="5"/>
        <v>90</v>
      </c>
      <c r="S9" s="28">
        <f t="shared" si="5"/>
        <v>91</v>
      </c>
      <c r="T9" s="28">
        <f t="shared" si="5"/>
        <v>92</v>
      </c>
      <c r="U9" s="28">
        <f t="shared" si="5"/>
        <v>92</v>
      </c>
      <c r="V9" s="28">
        <f t="shared" si="5"/>
        <v>90</v>
      </c>
      <c r="W9" s="28">
        <f t="shared" si="5"/>
        <v>91</v>
      </c>
      <c r="X9" s="28">
        <f t="shared" si="5"/>
        <v>92</v>
      </c>
      <c r="Y9" s="28">
        <f t="shared" si="5"/>
        <v>92</v>
      </c>
      <c r="Z9" s="28">
        <f t="shared" si="5"/>
        <v>90</v>
      </c>
      <c r="AA9" s="28">
        <f t="shared" si="5"/>
        <v>91</v>
      </c>
      <c r="AB9" s="28">
        <f t="shared" si="5"/>
        <v>92</v>
      </c>
      <c r="AC9" s="28">
        <f t="shared" si="5"/>
        <v>92</v>
      </c>
      <c r="AD9" s="28">
        <f t="shared" si="5"/>
        <v>91</v>
      </c>
      <c r="AE9" s="28">
        <f t="shared" si="5"/>
        <v>91</v>
      </c>
      <c r="AF9" s="28">
        <f t="shared" si="5"/>
        <v>92</v>
      </c>
      <c r="AG9" s="28">
        <f t="shared" si="5"/>
        <v>92</v>
      </c>
      <c r="AH9" s="28">
        <f t="shared" si="5"/>
        <v>90</v>
      </c>
      <c r="AI9" s="28">
        <f t="shared" si="5"/>
        <v>91</v>
      </c>
      <c r="AJ9" s="28">
        <f t="shared" si="5"/>
        <v>92</v>
      </c>
      <c r="AK9" s="28">
        <f t="shared" si="5"/>
        <v>92</v>
      </c>
    </row>
    <row r="10" spans="1:37" x14ac:dyDescent="0.45">
      <c r="A10" s="12" t="s">
        <v>288</v>
      </c>
      <c r="B10" s="3" t="s">
        <v>289</v>
      </c>
      <c r="C10" s="12" t="s">
        <v>290</v>
      </c>
      <c r="E10" s="28">
        <f t="shared" ref="E10:AK10" si="6">IF(E5="F",E6-FirstForecastYear+1,0)</f>
        <v>0</v>
      </c>
      <c r="F10" s="28">
        <f t="shared" si="6"/>
        <v>0</v>
      </c>
      <c r="G10" s="28">
        <f t="shared" si="6"/>
        <v>0</v>
      </c>
      <c r="H10" s="28">
        <f t="shared" si="6"/>
        <v>0</v>
      </c>
      <c r="I10" s="28">
        <f t="shared" si="6"/>
        <v>0</v>
      </c>
      <c r="J10" s="28">
        <f t="shared" si="6"/>
        <v>0</v>
      </c>
      <c r="K10" s="28">
        <f t="shared" si="6"/>
        <v>0</v>
      </c>
      <c r="L10" s="28">
        <f t="shared" si="6"/>
        <v>0</v>
      </c>
      <c r="M10" s="28">
        <f t="shared" si="6"/>
        <v>0</v>
      </c>
      <c r="N10" s="28">
        <f t="shared" si="6"/>
        <v>0</v>
      </c>
      <c r="O10" s="28">
        <f t="shared" si="6"/>
        <v>0</v>
      </c>
      <c r="P10" s="28">
        <f t="shared" si="6"/>
        <v>0</v>
      </c>
      <c r="Q10" s="28">
        <f t="shared" si="6"/>
        <v>0</v>
      </c>
      <c r="R10" s="28">
        <f t="shared" si="6"/>
        <v>0</v>
      </c>
      <c r="S10" s="28">
        <f t="shared" si="6"/>
        <v>0</v>
      </c>
      <c r="T10" s="28">
        <f t="shared" si="6"/>
        <v>0</v>
      </c>
      <c r="U10" s="28">
        <f t="shared" si="6"/>
        <v>0</v>
      </c>
      <c r="V10" s="28">
        <f t="shared" si="6"/>
        <v>0</v>
      </c>
      <c r="W10" s="28">
        <f t="shared" si="6"/>
        <v>0</v>
      </c>
      <c r="X10" s="28">
        <f t="shared" si="6"/>
        <v>1</v>
      </c>
      <c r="Y10" s="28">
        <f t="shared" si="6"/>
        <v>1</v>
      </c>
      <c r="Z10" s="28">
        <f t="shared" si="6"/>
        <v>2</v>
      </c>
      <c r="AA10" s="28">
        <f t="shared" si="6"/>
        <v>2</v>
      </c>
      <c r="AB10" s="28">
        <f t="shared" si="6"/>
        <v>2</v>
      </c>
      <c r="AC10" s="28">
        <f t="shared" si="6"/>
        <v>2</v>
      </c>
      <c r="AD10" s="28">
        <f t="shared" si="6"/>
        <v>3</v>
      </c>
      <c r="AE10" s="28">
        <f t="shared" si="6"/>
        <v>3</v>
      </c>
      <c r="AF10" s="28">
        <f t="shared" si="6"/>
        <v>3</v>
      </c>
      <c r="AG10" s="28">
        <f t="shared" si="6"/>
        <v>3</v>
      </c>
      <c r="AH10" s="28">
        <f t="shared" si="6"/>
        <v>4</v>
      </c>
      <c r="AI10" s="28">
        <f t="shared" si="6"/>
        <v>4</v>
      </c>
      <c r="AJ10" s="28">
        <f t="shared" si="6"/>
        <v>4</v>
      </c>
      <c r="AK10" s="28">
        <f t="shared" si="6"/>
        <v>4</v>
      </c>
    </row>
    <row r="11" spans="1:37" x14ac:dyDescent="0.45">
      <c r="A11" s="12" t="s">
        <v>291</v>
      </c>
      <c r="B11" s="3" t="s">
        <v>292</v>
      </c>
      <c r="C11" s="12" t="s">
        <v>290</v>
      </c>
      <c r="E11" s="28">
        <f t="shared" ref="E11:AK11" si="7">(ScenarioActive-1)*ForecastYears+E10</f>
        <v>4</v>
      </c>
      <c r="F11" s="28">
        <f t="shared" si="7"/>
        <v>4</v>
      </c>
      <c r="G11" s="28">
        <f t="shared" si="7"/>
        <v>4</v>
      </c>
      <c r="H11" s="28">
        <f t="shared" si="7"/>
        <v>4</v>
      </c>
      <c r="I11" s="28">
        <f t="shared" si="7"/>
        <v>4</v>
      </c>
      <c r="J11" s="28">
        <f t="shared" si="7"/>
        <v>4</v>
      </c>
      <c r="K11" s="28">
        <f t="shared" si="7"/>
        <v>4</v>
      </c>
      <c r="L11" s="28">
        <f t="shared" si="7"/>
        <v>4</v>
      </c>
      <c r="M11" s="28">
        <f t="shared" si="7"/>
        <v>4</v>
      </c>
      <c r="N11" s="28">
        <f t="shared" si="7"/>
        <v>4</v>
      </c>
      <c r="O11" s="28">
        <f t="shared" si="7"/>
        <v>4</v>
      </c>
      <c r="P11" s="28">
        <f t="shared" si="7"/>
        <v>4</v>
      </c>
      <c r="Q11" s="28">
        <f t="shared" si="7"/>
        <v>4</v>
      </c>
      <c r="R11" s="28">
        <f t="shared" si="7"/>
        <v>4</v>
      </c>
      <c r="S11" s="28">
        <f t="shared" si="7"/>
        <v>4</v>
      </c>
      <c r="T11" s="28">
        <f t="shared" si="7"/>
        <v>4</v>
      </c>
      <c r="U11" s="28">
        <f t="shared" si="7"/>
        <v>4</v>
      </c>
      <c r="V11" s="28">
        <f t="shared" si="7"/>
        <v>4</v>
      </c>
      <c r="W11" s="28">
        <f t="shared" si="7"/>
        <v>4</v>
      </c>
      <c r="X11" s="28">
        <f t="shared" si="7"/>
        <v>5</v>
      </c>
      <c r="Y11" s="28">
        <f t="shared" si="7"/>
        <v>5</v>
      </c>
      <c r="Z11" s="28">
        <f t="shared" si="7"/>
        <v>6</v>
      </c>
      <c r="AA11" s="28">
        <f t="shared" si="7"/>
        <v>6</v>
      </c>
      <c r="AB11" s="28">
        <f t="shared" si="7"/>
        <v>6</v>
      </c>
      <c r="AC11" s="28">
        <f t="shared" si="7"/>
        <v>6</v>
      </c>
      <c r="AD11" s="28">
        <f t="shared" si="7"/>
        <v>7</v>
      </c>
      <c r="AE11" s="28">
        <f t="shared" si="7"/>
        <v>7</v>
      </c>
      <c r="AF11" s="28">
        <f t="shared" si="7"/>
        <v>7</v>
      </c>
      <c r="AG11" s="28">
        <f t="shared" si="7"/>
        <v>7</v>
      </c>
      <c r="AH11" s="28">
        <f t="shared" si="7"/>
        <v>8</v>
      </c>
      <c r="AI11" s="28">
        <f t="shared" si="7"/>
        <v>8</v>
      </c>
      <c r="AJ11" s="28">
        <f t="shared" si="7"/>
        <v>8</v>
      </c>
      <c r="AK11" s="28">
        <f t="shared" si="7"/>
        <v>8</v>
      </c>
    </row>
    <row r="13" spans="1:37" x14ac:dyDescent="0.45">
      <c r="A13" s="21"/>
      <c r="B13" s="22" t="s">
        <v>293</v>
      </c>
      <c r="C13" s="21"/>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row>
    <row r="14" spans="1:37" x14ac:dyDescent="0.45">
      <c r="A14" s="12" t="s">
        <v>294</v>
      </c>
      <c r="B14" s="3" t="s">
        <v>295</v>
      </c>
      <c r="C14" s="12" t="s">
        <v>296</v>
      </c>
      <c r="E14" s="37">
        <f>AVERAGEIFS(Rev_Build!$F$11:$W$11,Rev_Build!$F$7:$W$7,E$7,Rev_Build!$F$6:$W$6,"&gt;="&amp;SeasFrom,Rev_Build!$F$6:$W$6,"&lt;="&amp;SeasTo)/AVERAGEIFS(Rev_Build!$F$11:$W$11,Rev_Build!$F$6:$W$6,"&gt;="&amp;SeasFrom,Rev_Build!$F$6:$W$6,"&lt;="&amp;SeasTo)</f>
        <v>1.0352941176470589</v>
      </c>
      <c r="F14" s="37">
        <f>AVERAGEIFS(Rev_Build!$F$11:$W$11,Rev_Build!$F$7:$W$7,F$7,Rev_Build!$F$6:$W$6,"&gt;="&amp;SeasFrom,Rev_Build!$F$6:$W$6,"&lt;="&amp;SeasTo)/AVERAGEIFS(Rev_Build!$F$11:$W$11,Rev_Build!$F$6:$W$6,"&gt;="&amp;SeasFrom,Rev_Build!$F$6:$W$6,"&lt;="&amp;SeasTo)</f>
        <v>0.84705882352941175</v>
      </c>
      <c r="G14" s="37">
        <f>AVERAGEIFS(Rev_Build!$F$11:$W$11,Rev_Build!$F$7:$W$7,G$7,Rev_Build!$F$6:$W$6,"&gt;="&amp;SeasFrom,Rev_Build!$F$6:$W$6,"&lt;="&amp;SeasTo)/AVERAGEIFS(Rev_Build!$F$11:$W$11,Rev_Build!$F$6:$W$6,"&gt;="&amp;SeasFrom,Rev_Build!$F$6:$W$6,"&lt;="&amp;SeasTo)</f>
        <v>1.1294117647058823</v>
      </c>
      <c r="H14" s="37">
        <f>AVERAGEIFS(Rev_Build!$F$11:$W$11,Rev_Build!$F$7:$W$7,H$7,Rev_Build!$F$6:$W$6,"&gt;="&amp;SeasFrom,Rev_Build!$F$6:$W$6,"&lt;="&amp;SeasTo)/AVERAGEIFS(Rev_Build!$F$11:$W$11,Rev_Build!$F$6:$W$6,"&gt;="&amp;SeasFrom,Rev_Build!$F$6:$W$6,"&lt;="&amp;SeasTo)</f>
        <v>0.9882352941176471</v>
      </c>
      <c r="I14" s="37">
        <f>AVERAGEIFS(Rev_Build!$F$11:$W$11,Rev_Build!$F$7:$W$7,I$7,Rev_Build!$F$6:$W$6,"&gt;="&amp;SeasFrom,Rev_Build!$F$6:$W$6,"&lt;="&amp;SeasTo)/AVERAGEIFS(Rev_Build!$F$11:$W$11,Rev_Build!$F$6:$W$6,"&gt;="&amp;SeasFrom,Rev_Build!$F$6:$W$6,"&lt;="&amp;SeasTo)</f>
        <v>1.0352941176470589</v>
      </c>
      <c r="J14" s="37">
        <f>AVERAGEIFS(Rev_Build!$F$11:$W$11,Rev_Build!$F$7:$W$7,J$7,Rev_Build!$F$6:$W$6,"&gt;="&amp;SeasFrom,Rev_Build!$F$6:$W$6,"&lt;="&amp;SeasTo)/AVERAGEIFS(Rev_Build!$F$11:$W$11,Rev_Build!$F$6:$W$6,"&gt;="&amp;SeasFrom,Rev_Build!$F$6:$W$6,"&lt;="&amp;SeasTo)</f>
        <v>0.84705882352941175</v>
      </c>
      <c r="K14" s="37">
        <f>AVERAGEIFS(Rev_Build!$F$11:$W$11,Rev_Build!$F$7:$W$7,K$7,Rev_Build!$F$6:$W$6,"&gt;="&amp;SeasFrom,Rev_Build!$F$6:$W$6,"&lt;="&amp;SeasTo)/AVERAGEIFS(Rev_Build!$F$11:$W$11,Rev_Build!$F$6:$W$6,"&gt;="&amp;SeasFrom,Rev_Build!$F$6:$W$6,"&lt;="&amp;SeasTo)</f>
        <v>1.1294117647058823</v>
      </c>
      <c r="L14" s="37">
        <f>AVERAGEIFS(Rev_Build!$F$11:$W$11,Rev_Build!$F$7:$W$7,L$7,Rev_Build!$F$6:$W$6,"&gt;="&amp;SeasFrom,Rev_Build!$F$6:$W$6,"&lt;="&amp;SeasTo)/AVERAGEIFS(Rev_Build!$F$11:$W$11,Rev_Build!$F$6:$W$6,"&gt;="&amp;SeasFrom,Rev_Build!$F$6:$W$6,"&lt;="&amp;SeasTo)</f>
        <v>0.9882352941176471</v>
      </c>
      <c r="M14" s="37">
        <f>AVERAGEIFS(Rev_Build!$F$11:$W$11,Rev_Build!$F$7:$W$7,M$7,Rev_Build!$F$6:$W$6,"&gt;="&amp;SeasFrom,Rev_Build!$F$6:$W$6,"&lt;="&amp;SeasTo)/AVERAGEIFS(Rev_Build!$F$11:$W$11,Rev_Build!$F$6:$W$6,"&gt;="&amp;SeasFrom,Rev_Build!$F$6:$W$6,"&lt;="&amp;SeasTo)</f>
        <v>1.0352941176470589</v>
      </c>
      <c r="N14" s="37">
        <f>AVERAGEIFS(Rev_Build!$F$11:$W$11,Rev_Build!$F$7:$W$7,N$7,Rev_Build!$F$6:$W$6,"&gt;="&amp;SeasFrom,Rev_Build!$F$6:$W$6,"&lt;="&amp;SeasTo)/AVERAGEIFS(Rev_Build!$F$11:$W$11,Rev_Build!$F$6:$W$6,"&gt;="&amp;SeasFrom,Rev_Build!$F$6:$W$6,"&lt;="&amp;SeasTo)</f>
        <v>0.84705882352941175</v>
      </c>
      <c r="O14" s="37">
        <f>AVERAGEIFS(Rev_Build!$F$11:$W$11,Rev_Build!$F$7:$W$7,O$7,Rev_Build!$F$6:$W$6,"&gt;="&amp;SeasFrom,Rev_Build!$F$6:$W$6,"&lt;="&amp;SeasTo)/AVERAGEIFS(Rev_Build!$F$11:$W$11,Rev_Build!$F$6:$W$6,"&gt;="&amp;SeasFrom,Rev_Build!$F$6:$W$6,"&lt;="&amp;SeasTo)</f>
        <v>1.1294117647058823</v>
      </c>
      <c r="P14" s="37">
        <f>AVERAGEIFS(Rev_Build!$F$11:$W$11,Rev_Build!$F$7:$W$7,P$7,Rev_Build!$F$6:$W$6,"&gt;="&amp;SeasFrom,Rev_Build!$F$6:$W$6,"&lt;="&amp;SeasTo)/AVERAGEIFS(Rev_Build!$F$11:$W$11,Rev_Build!$F$6:$W$6,"&gt;="&amp;SeasFrom,Rev_Build!$F$6:$W$6,"&lt;="&amp;SeasTo)</f>
        <v>0.9882352941176471</v>
      </c>
      <c r="Q14" s="37">
        <f>AVERAGEIFS(Rev_Build!$F$11:$W$11,Rev_Build!$F$7:$W$7,Q$7,Rev_Build!$F$6:$W$6,"&gt;="&amp;SeasFrom,Rev_Build!$F$6:$W$6,"&lt;="&amp;SeasTo)/AVERAGEIFS(Rev_Build!$F$11:$W$11,Rev_Build!$F$6:$W$6,"&gt;="&amp;SeasFrom,Rev_Build!$F$6:$W$6,"&lt;="&amp;SeasTo)</f>
        <v>1.0352941176470589</v>
      </c>
      <c r="R14" s="37">
        <f>AVERAGEIFS(Rev_Build!$F$11:$W$11,Rev_Build!$F$7:$W$7,R$7,Rev_Build!$F$6:$W$6,"&gt;="&amp;SeasFrom,Rev_Build!$F$6:$W$6,"&lt;="&amp;SeasTo)/AVERAGEIFS(Rev_Build!$F$11:$W$11,Rev_Build!$F$6:$W$6,"&gt;="&amp;SeasFrom,Rev_Build!$F$6:$W$6,"&lt;="&amp;SeasTo)</f>
        <v>0.84705882352941175</v>
      </c>
      <c r="S14" s="37">
        <f>AVERAGEIFS(Rev_Build!$F$11:$W$11,Rev_Build!$F$7:$W$7,S$7,Rev_Build!$F$6:$W$6,"&gt;="&amp;SeasFrom,Rev_Build!$F$6:$W$6,"&lt;="&amp;SeasTo)/AVERAGEIFS(Rev_Build!$F$11:$W$11,Rev_Build!$F$6:$W$6,"&gt;="&amp;SeasFrom,Rev_Build!$F$6:$W$6,"&lt;="&amp;SeasTo)</f>
        <v>1.1294117647058823</v>
      </c>
      <c r="T14" s="37">
        <f>AVERAGEIFS(Rev_Build!$F$11:$W$11,Rev_Build!$F$7:$W$7,T$7,Rev_Build!$F$6:$W$6,"&gt;="&amp;SeasFrom,Rev_Build!$F$6:$W$6,"&lt;="&amp;SeasTo)/AVERAGEIFS(Rev_Build!$F$11:$W$11,Rev_Build!$F$6:$W$6,"&gt;="&amp;SeasFrom,Rev_Build!$F$6:$W$6,"&lt;="&amp;SeasTo)</f>
        <v>0.9882352941176471</v>
      </c>
      <c r="U14" s="37">
        <f>AVERAGEIFS(Rev_Build!$F$11:$W$11,Rev_Build!$F$7:$W$7,U$7,Rev_Build!$F$6:$W$6,"&gt;="&amp;SeasFrom,Rev_Build!$F$6:$W$6,"&lt;="&amp;SeasTo)/AVERAGEIFS(Rev_Build!$F$11:$W$11,Rev_Build!$F$6:$W$6,"&gt;="&amp;SeasFrom,Rev_Build!$F$6:$W$6,"&lt;="&amp;SeasTo)</f>
        <v>1.0352941176470589</v>
      </c>
      <c r="V14" s="37">
        <f>AVERAGEIFS(Rev_Build!$F$11:$W$11,Rev_Build!$F$7:$W$7,V$7,Rev_Build!$F$6:$W$6,"&gt;="&amp;SeasFrom,Rev_Build!$F$6:$W$6,"&lt;="&amp;SeasTo)/AVERAGEIFS(Rev_Build!$F$11:$W$11,Rev_Build!$F$6:$W$6,"&gt;="&amp;SeasFrom,Rev_Build!$F$6:$W$6,"&lt;="&amp;SeasTo)</f>
        <v>0.84705882352941175</v>
      </c>
      <c r="W14" s="37">
        <f>AVERAGEIFS(Rev_Build!$F$11:$W$11,Rev_Build!$F$7:$W$7,W$7,Rev_Build!$F$6:$W$6,"&gt;="&amp;SeasFrom,Rev_Build!$F$6:$W$6,"&lt;="&amp;SeasTo)/AVERAGEIFS(Rev_Build!$F$11:$W$11,Rev_Build!$F$6:$W$6,"&gt;="&amp;SeasFrom,Rev_Build!$F$6:$W$6,"&lt;="&amp;SeasTo)</f>
        <v>1.1294117647058823</v>
      </c>
      <c r="X14" s="37">
        <f>AVERAGEIFS(Rev_Build!$F$11:$W$11,Rev_Build!$F$7:$W$7,X$7,Rev_Build!$F$6:$W$6,"&gt;="&amp;SeasFrom,Rev_Build!$F$6:$W$6,"&lt;="&amp;SeasTo)/AVERAGEIFS(Rev_Build!$F$11:$W$11,Rev_Build!$F$6:$W$6,"&gt;="&amp;SeasFrom,Rev_Build!$F$6:$W$6,"&lt;="&amp;SeasTo)</f>
        <v>0.9882352941176471</v>
      </c>
      <c r="Y14" s="37">
        <f>AVERAGEIFS(Rev_Build!$F$11:$W$11,Rev_Build!$F$7:$W$7,Y$7,Rev_Build!$F$6:$W$6,"&gt;="&amp;SeasFrom,Rev_Build!$F$6:$W$6,"&lt;="&amp;SeasTo)/AVERAGEIFS(Rev_Build!$F$11:$W$11,Rev_Build!$F$6:$W$6,"&gt;="&amp;SeasFrom,Rev_Build!$F$6:$W$6,"&lt;="&amp;SeasTo)</f>
        <v>1.0352941176470589</v>
      </c>
      <c r="Z14" s="37">
        <f>AVERAGEIFS(Rev_Build!$F$11:$W$11,Rev_Build!$F$7:$W$7,Z$7,Rev_Build!$F$6:$W$6,"&gt;="&amp;SeasFrom,Rev_Build!$F$6:$W$6,"&lt;="&amp;SeasTo)/AVERAGEIFS(Rev_Build!$F$11:$W$11,Rev_Build!$F$6:$W$6,"&gt;="&amp;SeasFrom,Rev_Build!$F$6:$W$6,"&lt;="&amp;SeasTo)</f>
        <v>0.84705882352941175</v>
      </c>
      <c r="AA14" s="37">
        <f>AVERAGEIFS(Rev_Build!$F$11:$W$11,Rev_Build!$F$7:$W$7,AA$7,Rev_Build!$F$6:$W$6,"&gt;="&amp;SeasFrom,Rev_Build!$F$6:$W$6,"&lt;="&amp;SeasTo)/AVERAGEIFS(Rev_Build!$F$11:$W$11,Rev_Build!$F$6:$W$6,"&gt;="&amp;SeasFrom,Rev_Build!$F$6:$W$6,"&lt;="&amp;SeasTo)</f>
        <v>1.1294117647058823</v>
      </c>
      <c r="AB14" s="37">
        <f>AVERAGEIFS(Rev_Build!$F$11:$W$11,Rev_Build!$F$7:$W$7,AB$7,Rev_Build!$F$6:$W$6,"&gt;="&amp;SeasFrom,Rev_Build!$F$6:$W$6,"&lt;="&amp;SeasTo)/AVERAGEIFS(Rev_Build!$F$11:$W$11,Rev_Build!$F$6:$W$6,"&gt;="&amp;SeasFrom,Rev_Build!$F$6:$W$6,"&lt;="&amp;SeasTo)</f>
        <v>0.9882352941176471</v>
      </c>
      <c r="AC14" s="37">
        <f>AVERAGEIFS(Rev_Build!$F$11:$W$11,Rev_Build!$F$7:$W$7,AC$7,Rev_Build!$F$6:$W$6,"&gt;="&amp;SeasFrom,Rev_Build!$F$6:$W$6,"&lt;="&amp;SeasTo)/AVERAGEIFS(Rev_Build!$F$11:$W$11,Rev_Build!$F$6:$W$6,"&gt;="&amp;SeasFrom,Rev_Build!$F$6:$W$6,"&lt;="&amp;SeasTo)</f>
        <v>1.0352941176470589</v>
      </c>
      <c r="AD14" s="37">
        <f>AVERAGEIFS(Rev_Build!$F$11:$W$11,Rev_Build!$F$7:$W$7,AD$7,Rev_Build!$F$6:$W$6,"&gt;="&amp;SeasFrom,Rev_Build!$F$6:$W$6,"&lt;="&amp;SeasTo)/AVERAGEIFS(Rev_Build!$F$11:$W$11,Rev_Build!$F$6:$W$6,"&gt;="&amp;SeasFrom,Rev_Build!$F$6:$W$6,"&lt;="&amp;SeasTo)</f>
        <v>0.84705882352941175</v>
      </c>
      <c r="AE14" s="37">
        <f>AVERAGEIFS(Rev_Build!$F$11:$W$11,Rev_Build!$F$7:$W$7,AE$7,Rev_Build!$F$6:$W$6,"&gt;="&amp;SeasFrom,Rev_Build!$F$6:$W$6,"&lt;="&amp;SeasTo)/AVERAGEIFS(Rev_Build!$F$11:$W$11,Rev_Build!$F$6:$W$6,"&gt;="&amp;SeasFrom,Rev_Build!$F$6:$W$6,"&lt;="&amp;SeasTo)</f>
        <v>1.1294117647058823</v>
      </c>
      <c r="AF14" s="37">
        <f>AVERAGEIFS(Rev_Build!$F$11:$W$11,Rev_Build!$F$7:$W$7,AF$7,Rev_Build!$F$6:$W$6,"&gt;="&amp;SeasFrom,Rev_Build!$F$6:$W$6,"&lt;="&amp;SeasTo)/AVERAGEIFS(Rev_Build!$F$11:$W$11,Rev_Build!$F$6:$W$6,"&gt;="&amp;SeasFrom,Rev_Build!$F$6:$W$6,"&lt;="&amp;SeasTo)</f>
        <v>0.9882352941176471</v>
      </c>
      <c r="AG14" s="37">
        <f>AVERAGEIFS(Rev_Build!$F$11:$W$11,Rev_Build!$F$7:$W$7,AG$7,Rev_Build!$F$6:$W$6,"&gt;="&amp;SeasFrom,Rev_Build!$F$6:$W$6,"&lt;="&amp;SeasTo)/AVERAGEIFS(Rev_Build!$F$11:$W$11,Rev_Build!$F$6:$W$6,"&gt;="&amp;SeasFrom,Rev_Build!$F$6:$W$6,"&lt;="&amp;SeasTo)</f>
        <v>1.0352941176470589</v>
      </c>
      <c r="AH14" s="37">
        <f>AVERAGEIFS(Rev_Build!$F$11:$W$11,Rev_Build!$F$7:$W$7,AH$7,Rev_Build!$F$6:$W$6,"&gt;="&amp;SeasFrom,Rev_Build!$F$6:$W$6,"&lt;="&amp;SeasTo)/AVERAGEIFS(Rev_Build!$F$11:$W$11,Rev_Build!$F$6:$W$6,"&gt;="&amp;SeasFrom,Rev_Build!$F$6:$W$6,"&lt;="&amp;SeasTo)</f>
        <v>0.84705882352941175</v>
      </c>
      <c r="AI14" s="37">
        <f>AVERAGEIFS(Rev_Build!$F$11:$W$11,Rev_Build!$F$7:$W$7,AI$7,Rev_Build!$F$6:$W$6,"&gt;="&amp;SeasFrom,Rev_Build!$F$6:$W$6,"&lt;="&amp;SeasTo)/AVERAGEIFS(Rev_Build!$F$11:$W$11,Rev_Build!$F$6:$W$6,"&gt;="&amp;SeasFrom,Rev_Build!$F$6:$W$6,"&lt;="&amp;SeasTo)</f>
        <v>1.1294117647058823</v>
      </c>
      <c r="AJ14" s="37">
        <f>AVERAGEIFS(Rev_Build!$F$11:$W$11,Rev_Build!$F$7:$W$7,AJ$7,Rev_Build!$F$6:$W$6,"&gt;="&amp;SeasFrom,Rev_Build!$F$6:$W$6,"&lt;="&amp;SeasTo)/AVERAGEIFS(Rev_Build!$F$11:$W$11,Rev_Build!$F$6:$W$6,"&gt;="&amp;SeasFrom,Rev_Build!$F$6:$W$6,"&lt;="&amp;SeasTo)</f>
        <v>0.9882352941176471</v>
      </c>
      <c r="AK14" s="37">
        <f>AVERAGEIFS(Rev_Build!$F$11:$W$11,Rev_Build!$F$7:$W$7,AK$7,Rev_Build!$F$6:$W$6,"&gt;="&amp;SeasFrom,Rev_Build!$F$6:$W$6,"&lt;="&amp;SeasTo)/AVERAGEIFS(Rev_Build!$F$11:$W$11,Rev_Build!$F$6:$W$6,"&gt;="&amp;SeasFrom,Rev_Build!$F$6:$W$6,"&lt;="&amp;SeasTo)</f>
        <v>1.0352941176470589</v>
      </c>
    </row>
    <row r="16" spans="1:37" x14ac:dyDescent="0.45">
      <c r="A16" s="21"/>
      <c r="B16" s="22" t="s">
        <v>297</v>
      </c>
      <c r="C16" s="2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row>
    <row r="17" spans="1:37" x14ac:dyDescent="0.45">
      <c r="A17" s="12" t="s">
        <v>298</v>
      </c>
      <c r="B17" s="3" t="s">
        <v>170</v>
      </c>
      <c r="C17" s="12" t="s">
        <v>65</v>
      </c>
      <c r="X17" s="13">
        <f>INDEX(Inputs!$H$31:$S$31,1,X$11)*X$14+Sens_NetAdds</f>
        <v>8152.9411764705883</v>
      </c>
      <c r="Y17" s="13">
        <f>INDEX(Inputs!$H$31:$S$31,1,Y$11)*Y$14+Sens_NetAdds</f>
        <v>8541.176470588236</v>
      </c>
      <c r="Z17" s="13">
        <f>INDEX(Inputs!$H$31:$S$31,1,Z$11)*Z$14+Sens_NetAdds</f>
        <v>7200</v>
      </c>
      <c r="AA17" s="13">
        <f>INDEX(Inputs!$H$31:$S$31,1,AA$11)*AA$14+Sens_NetAdds</f>
        <v>9600</v>
      </c>
      <c r="AB17" s="13">
        <f>INDEX(Inputs!$H$31:$S$31,1,AB$11)*AB$14+Sens_NetAdds</f>
        <v>8400</v>
      </c>
      <c r="AC17" s="13">
        <f>INDEX(Inputs!$H$31:$S$31,1,AC$11)*AC$14+Sens_NetAdds</f>
        <v>8800</v>
      </c>
      <c r="AD17" s="13">
        <f>INDEX(Inputs!$H$31:$S$31,1,AD$11)*AD$14+Sens_NetAdds</f>
        <v>7200</v>
      </c>
      <c r="AE17" s="13">
        <f>INDEX(Inputs!$H$31:$S$31,1,AE$11)*AE$14+Sens_NetAdds</f>
        <v>9600</v>
      </c>
      <c r="AF17" s="13">
        <f>INDEX(Inputs!$H$31:$S$31,1,AF$11)*AF$14+Sens_NetAdds</f>
        <v>8400</v>
      </c>
      <c r="AG17" s="13">
        <f>INDEX(Inputs!$H$31:$S$31,1,AG$11)*AG$14+Sens_NetAdds</f>
        <v>8800</v>
      </c>
      <c r="AH17" s="13">
        <f>INDEX(Inputs!$H$31:$S$31,1,AH$11)*AH$14+Sens_NetAdds</f>
        <v>7200</v>
      </c>
      <c r="AI17" s="13">
        <f>INDEX(Inputs!$H$31:$S$31,1,AI$11)*AI$14+Sens_NetAdds</f>
        <v>9600</v>
      </c>
      <c r="AJ17" s="13">
        <f>INDEX(Inputs!$H$31:$S$31,1,AJ$11)*AJ$14+Sens_NetAdds</f>
        <v>8400</v>
      </c>
      <c r="AK17" s="13">
        <f>INDEX(Inputs!$H$31:$S$31,1,AK$11)*AK$14+Sens_NetAdds</f>
        <v>8800</v>
      </c>
    </row>
    <row r="18" spans="1:37" x14ac:dyDescent="0.45">
      <c r="A18" s="12" t="s">
        <v>299</v>
      </c>
      <c r="B18" s="3" t="s">
        <v>300</v>
      </c>
      <c r="C18" s="12" t="s">
        <v>65</v>
      </c>
      <c r="X18" s="13">
        <f>INDEX(Inputs!$H$31:$S$31,1,X$11)+Sens_NetAdds+INDEX(Inputs!$H$32:$S$32,1,X$11)</f>
        <v>8250</v>
      </c>
      <c r="Y18" s="13">
        <f>INDEX(Inputs!$H$31:$S$31,1,Y$11)+Sens_NetAdds+INDEX(Inputs!$H$32:$S$32,1,Y$11)</f>
        <v>8250</v>
      </c>
      <c r="Z18" s="13">
        <f>INDEX(Inputs!$H$31:$S$31,1,Z$11)+Sens_NetAdds+INDEX(Inputs!$H$32:$S$32,1,Z$11)</f>
        <v>8500</v>
      </c>
      <c r="AA18" s="13">
        <f>INDEX(Inputs!$H$31:$S$31,1,AA$11)+Sens_NetAdds+INDEX(Inputs!$H$32:$S$32,1,AA$11)</f>
        <v>8500</v>
      </c>
      <c r="AB18" s="13">
        <f>INDEX(Inputs!$H$31:$S$31,1,AB$11)+Sens_NetAdds+INDEX(Inputs!$H$32:$S$32,1,AB$11)</f>
        <v>8500</v>
      </c>
      <c r="AC18" s="13">
        <f>INDEX(Inputs!$H$31:$S$31,1,AC$11)+Sens_NetAdds+INDEX(Inputs!$H$32:$S$32,1,AC$11)</f>
        <v>8500</v>
      </c>
      <c r="AD18" s="13">
        <f>INDEX(Inputs!$H$31:$S$31,1,AD$11)+Sens_NetAdds+INDEX(Inputs!$H$32:$S$32,1,AD$11)</f>
        <v>8500</v>
      </c>
      <c r="AE18" s="13">
        <f>INDEX(Inputs!$H$31:$S$31,1,AE$11)+Sens_NetAdds+INDEX(Inputs!$H$32:$S$32,1,AE$11)</f>
        <v>8500</v>
      </c>
      <c r="AF18" s="13">
        <f>INDEX(Inputs!$H$31:$S$31,1,AF$11)+Sens_NetAdds+INDEX(Inputs!$H$32:$S$32,1,AF$11)</f>
        <v>8500</v>
      </c>
      <c r="AG18" s="13">
        <f>INDEX(Inputs!$H$31:$S$31,1,AG$11)+Sens_NetAdds+INDEX(Inputs!$H$32:$S$32,1,AG$11)</f>
        <v>8500</v>
      </c>
      <c r="AH18" s="13">
        <f>INDEX(Inputs!$H$31:$S$31,1,AH$11)+Sens_NetAdds+INDEX(Inputs!$H$32:$S$32,1,AH$11)</f>
        <v>8500</v>
      </c>
      <c r="AI18" s="13">
        <f>INDEX(Inputs!$H$31:$S$31,1,AI$11)+Sens_NetAdds+INDEX(Inputs!$H$32:$S$32,1,AI$11)</f>
        <v>8500</v>
      </c>
      <c r="AJ18" s="13">
        <f>INDEX(Inputs!$H$31:$S$31,1,AJ$11)+Sens_NetAdds+INDEX(Inputs!$H$32:$S$32,1,AJ$11)</f>
        <v>8500</v>
      </c>
      <c r="AK18" s="13">
        <f>INDEX(Inputs!$H$31:$S$31,1,AK$11)+Sens_NetAdds+INDEX(Inputs!$H$32:$S$32,1,AK$11)</f>
        <v>8500</v>
      </c>
    </row>
    <row r="19" spans="1:37" x14ac:dyDescent="0.45">
      <c r="A19" s="12" t="s">
        <v>301</v>
      </c>
      <c r="B19" s="3" t="s">
        <v>173</v>
      </c>
      <c r="C19" s="12" t="s">
        <v>65</v>
      </c>
      <c r="X19" s="13">
        <f>INDEX(Inputs!$H$32:$S$32,1,X$11)</f>
        <v>0</v>
      </c>
      <c r="Y19" s="13">
        <f>INDEX(Inputs!$H$32:$S$32,1,Y$11)</f>
        <v>0</v>
      </c>
      <c r="Z19" s="13">
        <f>INDEX(Inputs!$H$32:$S$32,1,Z$11)</f>
        <v>0</v>
      </c>
      <c r="AA19" s="13">
        <f>INDEX(Inputs!$H$32:$S$32,1,AA$11)</f>
        <v>0</v>
      </c>
      <c r="AB19" s="13">
        <f>INDEX(Inputs!$H$32:$S$32,1,AB$11)</f>
        <v>0</v>
      </c>
      <c r="AC19" s="13">
        <f>INDEX(Inputs!$H$32:$S$32,1,AC$11)</f>
        <v>0</v>
      </c>
      <c r="AD19" s="13">
        <f>INDEX(Inputs!$H$32:$S$32,1,AD$11)</f>
        <v>0</v>
      </c>
      <c r="AE19" s="13">
        <f>INDEX(Inputs!$H$32:$S$32,1,AE$11)</f>
        <v>0</v>
      </c>
      <c r="AF19" s="13">
        <f>INDEX(Inputs!$H$32:$S$32,1,AF$11)</f>
        <v>0</v>
      </c>
      <c r="AG19" s="13">
        <f>INDEX(Inputs!$H$32:$S$32,1,AG$11)</f>
        <v>0</v>
      </c>
      <c r="AH19" s="13">
        <f>INDEX(Inputs!$H$32:$S$32,1,AH$11)</f>
        <v>0</v>
      </c>
      <c r="AI19" s="13">
        <f>INDEX(Inputs!$H$32:$S$32,1,AI$11)</f>
        <v>0</v>
      </c>
      <c r="AJ19" s="13">
        <f>INDEX(Inputs!$H$32:$S$32,1,AJ$11)</f>
        <v>0</v>
      </c>
      <c r="AK19" s="13">
        <f>INDEX(Inputs!$H$32:$S$32,1,AK$11)</f>
        <v>0</v>
      </c>
    </row>
    <row r="20" spans="1:37" x14ac:dyDescent="0.45">
      <c r="A20" s="12" t="s">
        <v>302</v>
      </c>
      <c r="B20" s="3" t="s">
        <v>176</v>
      </c>
      <c r="C20" s="12" t="s">
        <v>73</v>
      </c>
      <c r="X20" s="15">
        <f>INDEX(Inputs!$H$33:$S$33,1,X$11)</f>
        <v>4.4999999999999998E-2</v>
      </c>
      <c r="Y20" s="15">
        <f>INDEX(Inputs!$H$33:$S$33,1,Y$11)</f>
        <v>4.4999999999999998E-2</v>
      </c>
      <c r="Z20" s="15">
        <f>INDEX(Inputs!$H$33:$S$33,1,Z$11)</f>
        <v>0.04</v>
      </c>
      <c r="AA20" s="15">
        <f>INDEX(Inputs!$H$33:$S$33,1,AA$11)</f>
        <v>0.04</v>
      </c>
      <c r="AB20" s="15">
        <f>INDEX(Inputs!$H$33:$S$33,1,AB$11)</f>
        <v>0.04</v>
      </c>
      <c r="AC20" s="15">
        <f>INDEX(Inputs!$H$33:$S$33,1,AC$11)</f>
        <v>0.04</v>
      </c>
      <c r="AD20" s="15">
        <f>INDEX(Inputs!$H$33:$S$33,1,AD$11)</f>
        <v>3.5000000000000003E-2</v>
      </c>
      <c r="AE20" s="15">
        <f>INDEX(Inputs!$H$33:$S$33,1,AE$11)</f>
        <v>3.5000000000000003E-2</v>
      </c>
      <c r="AF20" s="15">
        <f>INDEX(Inputs!$H$33:$S$33,1,AF$11)</f>
        <v>3.5000000000000003E-2</v>
      </c>
      <c r="AG20" s="15">
        <f>INDEX(Inputs!$H$33:$S$33,1,AG$11)</f>
        <v>3.5000000000000003E-2</v>
      </c>
      <c r="AH20" s="15">
        <f>INDEX(Inputs!$H$33:$S$33,1,AH$11)</f>
        <v>0.03</v>
      </c>
      <c r="AI20" s="15">
        <f>INDEX(Inputs!$H$33:$S$33,1,AI$11)</f>
        <v>0.03</v>
      </c>
      <c r="AJ20" s="15">
        <f>INDEX(Inputs!$H$33:$S$33,1,AJ$11)</f>
        <v>0.03</v>
      </c>
      <c r="AK20" s="15">
        <f>INDEX(Inputs!$H$33:$S$33,1,AK$11)</f>
        <v>0.03</v>
      </c>
    </row>
    <row r="21" spans="1:37" x14ac:dyDescent="0.45">
      <c r="A21" s="12" t="s">
        <v>303</v>
      </c>
      <c r="B21" s="3" t="s">
        <v>179</v>
      </c>
      <c r="C21" s="12" t="s">
        <v>73</v>
      </c>
      <c r="X21" s="15">
        <f>INDEX(Inputs!$H$34:$S$34,1,X$11)+Sens_GPVg</f>
        <v>-5.0000000000000001E-3</v>
      </c>
      <c r="Y21" s="15">
        <f>INDEX(Inputs!$H$34:$S$34,1,Y$11)+Sens_GPVg</f>
        <v>-5.0000000000000001E-3</v>
      </c>
      <c r="Z21" s="15">
        <f>INDEX(Inputs!$H$34:$S$34,1,Z$11)+Sens_GPVg</f>
        <v>-5.0000000000000001E-3</v>
      </c>
      <c r="AA21" s="15">
        <f>INDEX(Inputs!$H$34:$S$34,1,AA$11)+Sens_GPVg</f>
        <v>-5.0000000000000001E-3</v>
      </c>
      <c r="AB21" s="15">
        <f>INDEX(Inputs!$H$34:$S$34,1,AB$11)+Sens_GPVg</f>
        <v>-5.0000000000000001E-3</v>
      </c>
      <c r="AC21" s="15">
        <f>INDEX(Inputs!$H$34:$S$34,1,AC$11)+Sens_GPVg</f>
        <v>-5.0000000000000001E-3</v>
      </c>
      <c r="AD21" s="15">
        <f>INDEX(Inputs!$H$34:$S$34,1,AD$11)+Sens_GPVg</f>
        <v>0</v>
      </c>
      <c r="AE21" s="15">
        <f>INDEX(Inputs!$H$34:$S$34,1,AE$11)+Sens_GPVg</f>
        <v>0</v>
      </c>
      <c r="AF21" s="15">
        <f>INDEX(Inputs!$H$34:$S$34,1,AF$11)+Sens_GPVg</f>
        <v>0</v>
      </c>
      <c r="AG21" s="15">
        <f>INDEX(Inputs!$H$34:$S$34,1,AG$11)+Sens_GPVg</f>
        <v>0</v>
      </c>
      <c r="AH21" s="15">
        <f>INDEX(Inputs!$H$34:$S$34,1,AH$11)+Sens_GPVg</f>
        <v>0</v>
      </c>
      <c r="AI21" s="15">
        <f>INDEX(Inputs!$H$34:$S$34,1,AI$11)+Sens_GPVg</f>
        <v>0</v>
      </c>
      <c r="AJ21" s="15">
        <f>INDEX(Inputs!$H$34:$S$34,1,AJ$11)+Sens_GPVg</f>
        <v>0</v>
      </c>
      <c r="AK21" s="15">
        <f>INDEX(Inputs!$H$34:$S$34,1,AK$11)+Sens_GPVg</f>
        <v>0</v>
      </c>
    </row>
    <row r="22" spans="1:37" x14ac:dyDescent="0.45">
      <c r="A22" s="12" t="s">
        <v>304</v>
      </c>
      <c r="B22" s="3" t="s">
        <v>182</v>
      </c>
      <c r="C22" s="12" t="s">
        <v>183</v>
      </c>
      <c r="X22" s="32">
        <f>INDEX(Inputs!$H$35:$S$35,1,X$11)</f>
        <v>2</v>
      </c>
      <c r="Y22" s="32">
        <f>INDEX(Inputs!$H$35:$S$35,1,Y$11)</f>
        <v>2</v>
      </c>
      <c r="Z22" s="32">
        <f>INDEX(Inputs!$H$35:$S$35,1,Z$11)</f>
        <v>1.5</v>
      </c>
      <c r="AA22" s="32">
        <f>INDEX(Inputs!$H$35:$S$35,1,AA$11)</f>
        <v>1.5</v>
      </c>
      <c r="AB22" s="32">
        <f>INDEX(Inputs!$H$35:$S$35,1,AB$11)</f>
        <v>1.5</v>
      </c>
      <c r="AC22" s="32">
        <f>INDEX(Inputs!$H$35:$S$35,1,AC$11)</f>
        <v>1.5</v>
      </c>
      <c r="AD22" s="32">
        <f>INDEX(Inputs!$H$35:$S$35,1,AD$11)</f>
        <v>1</v>
      </c>
      <c r="AE22" s="32">
        <f>INDEX(Inputs!$H$35:$S$35,1,AE$11)</f>
        <v>1</v>
      </c>
      <c r="AF22" s="32">
        <f>INDEX(Inputs!$H$35:$S$35,1,AF$11)</f>
        <v>1</v>
      </c>
      <c r="AG22" s="32">
        <f>INDEX(Inputs!$H$35:$S$35,1,AG$11)</f>
        <v>1</v>
      </c>
      <c r="AH22" s="32">
        <f>INDEX(Inputs!$H$35:$S$35,1,AH$11)</f>
        <v>1</v>
      </c>
      <c r="AI22" s="32">
        <f>INDEX(Inputs!$H$35:$S$35,1,AI$11)</f>
        <v>1</v>
      </c>
      <c r="AJ22" s="32">
        <f>INDEX(Inputs!$H$35:$S$35,1,AJ$11)</f>
        <v>1</v>
      </c>
      <c r="AK22" s="32">
        <f>INDEX(Inputs!$H$35:$S$35,1,AK$11)</f>
        <v>1</v>
      </c>
    </row>
    <row r="23" spans="1:37" x14ac:dyDescent="0.45">
      <c r="A23" s="12" t="s">
        <v>305</v>
      </c>
      <c r="B23" s="3" t="s">
        <v>186</v>
      </c>
      <c r="C23" s="12" t="s">
        <v>183</v>
      </c>
      <c r="X23" s="32">
        <f>INDEX(Inputs!$H$36:$S$36,1,X$11)</f>
        <v>0.5</v>
      </c>
      <c r="Y23" s="32">
        <f>INDEX(Inputs!$H$36:$S$36,1,Y$11)</f>
        <v>0.5</v>
      </c>
      <c r="Z23" s="32">
        <f>INDEX(Inputs!$H$36:$S$36,1,Z$11)</f>
        <v>0.5</v>
      </c>
      <c r="AA23" s="32">
        <f>INDEX(Inputs!$H$36:$S$36,1,AA$11)</f>
        <v>0.5</v>
      </c>
      <c r="AB23" s="32">
        <f>INDEX(Inputs!$H$36:$S$36,1,AB$11)</f>
        <v>0.5</v>
      </c>
      <c r="AC23" s="32">
        <f>INDEX(Inputs!$H$36:$S$36,1,AC$11)</f>
        <v>0.5</v>
      </c>
      <c r="AD23" s="32">
        <f>INDEX(Inputs!$H$36:$S$36,1,AD$11)</f>
        <v>0.5</v>
      </c>
      <c r="AE23" s="32">
        <f>INDEX(Inputs!$H$36:$S$36,1,AE$11)</f>
        <v>0.5</v>
      </c>
      <c r="AF23" s="32">
        <f>INDEX(Inputs!$H$36:$S$36,1,AF$11)</f>
        <v>0.5</v>
      </c>
      <c r="AG23" s="32">
        <f>INDEX(Inputs!$H$36:$S$36,1,AG$11)</f>
        <v>0.5</v>
      </c>
      <c r="AH23" s="32">
        <f>INDEX(Inputs!$H$36:$S$36,1,AH$11)</f>
        <v>0.5</v>
      </c>
      <c r="AI23" s="32">
        <f>INDEX(Inputs!$H$36:$S$36,1,AI$11)</f>
        <v>0.5</v>
      </c>
      <c r="AJ23" s="32">
        <f>INDEX(Inputs!$H$36:$S$36,1,AJ$11)</f>
        <v>0.5</v>
      </c>
      <c r="AK23" s="32">
        <f>INDEX(Inputs!$H$36:$S$36,1,AK$11)</f>
        <v>0.5</v>
      </c>
    </row>
    <row r="24" spans="1:37" x14ac:dyDescent="0.45">
      <c r="A24" s="12" t="s">
        <v>306</v>
      </c>
      <c r="B24" s="3" t="s">
        <v>189</v>
      </c>
      <c r="C24" s="12" t="s">
        <v>73</v>
      </c>
      <c r="X24" s="15">
        <f>INDEX(Inputs!$H$37:$S$37,1,X$11)</f>
        <v>0.77500000000000002</v>
      </c>
      <c r="Y24" s="15">
        <f>INDEX(Inputs!$H$37:$S$37,1,Y$11)</f>
        <v>0.77500000000000002</v>
      </c>
      <c r="Z24" s="15">
        <f>INDEX(Inputs!$H$37:$S$37,1,Z$11)</f>
        <v>0.78</v>
      </c>
      <c r="AA24" s="15">
        <f>INDEX(Inputs!$H$37:$S$37,1,AA$11)</f>
        <v>0.78</v>
      </c>
      <c r="AB24" s="15">
        <f>INDEX(Inputs!$H$37:$S$37,1,AB$11)</f>
        <v>0.78</v>
      </c>
      <c r="AC24" s="15">
        <f>INDEX(Inputs!$H$37:$S$37,1,AC$11)</f>
        <v>0.78</v>
      </c>
      <c r="AD24" s="15">
        <f>INDEX(Inputs!$H$37:$S$37,1,AD$11)</f>
        <v>0.78500000000000003</v>
      </c>
      <c r="AE24" s="15">
        <f>INDEX(Inputs!$H$37:$S$37,1,AE$11)</f>
        <v>0.78500000000000003</v>
      </c>
      <c r="AF24" s="15">
        <f>INDEX(Inputs!$H$37:$S$37,1,AF$11)</f>
        <v>0.78500000000000003</v>
      </c>
      <c r="AG24" s="15">
        <f>INDEX(Inputs!$H$37:$S$37,1,AG$11)</f>
        <v>0.78500000000000003</v>
      </c>
      <c r="AH24" s="15">
        <f>INDEX(Inputs!$H$37:$S$37,1,AH$11)</f>
        <v>0.78500000000000003</v>
      </c>
      <c r="AI24" s="15">
        <f>INDEX(Inputs!$H$37:$S$37,1,AI$11)</f>
        <v>0.78500000000000003</v>
      </c>
      <c r="AJ24" s="15">
        <f>INDEX(Inputs!$H$37:$S$37,1,AJ$11)</f>
        <v>0.78500000000000003</v>
      </c>
      <c r="AK24" s="15">
        <f>INDEX(Inputs!$H$37:$S$37,1,AK$11)</f>
        <v>0.78500000000000003</v>
      </c>
    </row>
    <row r="25" spans="1:37" x14ac:dyDescent="0.45">
      <c r="A25" s="12" t="s">
        <v>307</v>
      </c>
      <c r="B25" s="3" t="s">
        <v>192</v>
      </c>
      <c r="C25" s="12" t="s">
        <v>193</v>
      </c>
      <c r="X25" s="14">
        <f>INDEX(Inputs!$H$38:$S$38,1,X$11)</f>
        <v>7.75</v>
      </c>
      <c r="Y25" s="14">
        <f>INDEX(Inputs!$H$38:$S$38,1,Y$11)</f>
        <v>7.75</v>
      </c>
      <c r="Z25" s="14">
        <f>INDEX(Inputs!$H$38:$S$38,1,Z$11)</f>
        <v>8.5</v>
      </c>
      <c r="AA25" s="14">
        <f>INDEX(Inputs!$H$38:$S$38,1,AA$11)</f>
        <v>8.5</v>
      </c>
      <c r="AB25" s="14">
        <f>INDEX(Inputs!$H$38:$S$38,1,AB$11)</f>
        <v>8.5</v>
      </c>
      <c r="AC25" s="14">
        <f>INDEX(Inputs!$H$38:$S$38,1,AC$11)</f>
        <v>8.5</v>
      </c>
      <c r="AD25" s="14">
        <f>INDEX(Inputs!$H$38:$S$38,1,AD$11)</f>
        <v>9.25</v>
      </c>
      <c r="AE25" s="14">
        <f>INDEX(Inputs!$H$38:$S$38,1,AE$11)</f>
        <v>9.25</v>
      </c>
      <c r="AF25" s="14">
        <f>INDEX(Inputs!$H$38:$S$38,1,AF$11)</f>
        <v>9.25</v>
      </c>
      <c r="AG25" s="14">
        <f>INDEX(Inputs!$H$38:$S$38,1,AG$11)</f>
        <v>9.25</v>
      </c>
      <c r="AH25" s="14">
        <f>INDEX(Inputs!$H$38:$S$38,1,AH$11)</f>
        <v>10</v>
      </c>
      <c r="AI25" s="14">
        <f>INDEX(Inputs!$H$38:$S$38,1,AI$11)</f>
        <v>10</v>
      </c>
      <c r="AJ25" s="14">
        <f>INDEX(Inputs!$H$38:$S$38,1,AJ$11)</f>
        <v>10</v>
      </c>
      <c r="AK25" s="14">
        <f>INDEX(Inputs!$H$38:$S$38,1,AK$11)</f>
        <v>10</v>
      </c>
    </row>
    <row r="26" spans="1:37" x14ac:dyDescent="0.45">
      <c r="A26" s="12" t="s">
        <v>308</v>
      </c>
      <c r="B26" s="3" t="s">
        <v>196</v>
      </c>
      <c r="C26" s="12" t="s">
        <v>73</v>
      </c>
      <c r="X26" s="15">
        <f>INDEX(Inputs!$H$39:$S$39,1,X$11)</f>
        <v>0.18</v>
      </c>
      <c r="Y26" s="15">
        <f>INDEX(Inputs!$H$39:$S$39,1,Y$11)</f>
        <v>0.18</v>
      </c>
      <c r="Z26" s="15">
        <f>INDEX(Inputs!$H$39:$S$39,1,Z$11)</f>
        <v>0.16</v>
      </c>
      <c r="AA26" s="15">
        <f>INDEX(Inputs!$H$39:$S$39,1,AA$11)</f>
        <v>0.16</v>
      </c>
      <c r="AB26" s="15">
        <f>INDEX(Inputs!$H$39:$S$39,1,AB$11)</f>
        <v>0.16</v>
      </c>
      <c r="AC26" s="15">
        <f>INDEX(Inputs!$H$39:$S$39,1,AC$11)</f>
        <v>0.16</v>
      </c>
      <c r="AD26" s="15">
        <f>INDEX(Inputs!$H$39:$S$39,1,AD$11)</f>
        <v>0.13</v>
      </c>
      <c r="AE26" s="15">
        <f>INDEX(Inputs!$H$39:$S$39,1,AE$11)</f>
        <v>0.13</v>
      </c>
      <c r="AF26" s="15">
        <f>INDEX(Inputs!$H$39:$S$39,1,AF$11)</f>
        <v>0.13</v>
      </c>
      <c r="AG26" s="15">
        <f>INDEX(Inputs!$H$39:$S$39,1,AG$11)</f>
        <v>0.13</v>
      </c>
      <c r="AH26" s="15">
        <f>INDEX(Inputs!$H$39:$S$39,1,AH$11)</f>
        <v>0.12</v>
      </c>
      <c r="AI26" s="15">
        <f>INDEX(Inputs!$H$39:$S$39,1,AI$11)</f>
        <v>0.12</v>
      </c>
      <c r="AJ26" s="15">
        <f>INDEX(Inputs!$H$39:$S$39,1,AJ$11)</f>
        <v>0.12</v>
      </c>
      <c r="AK26" s="15">
        <f>INDEX(Inputs!$H$39:$S$39,1,AK$11)</f>
        <v>0.12</v>
      </c>
    </row>
    <row r="27" spans="1:37" x14ac:dyDescent="0.45">
      <c r="A27" s="12" t="s">
        <v>309</v>
      </c>
      <c r="B27" s="3" t="s">
        <v>199</v>
      </c>
      <c r="C27" s="12" t="s">
        <v>73</v>
      </c>
      <c r="X27" s="15">
        <f>INDEX(Inputs!$H$40:$S$40,1,X$11)</f>
        <v>0.13</v>
      </c>
      <c r="Y27" s="15">
        <f>INDEX(Inputs!$H$40:$S$40,1,Y$11)</f>
        <v>0.13</v>
      </c>
      <c r="Z27" s="15">
        <f>INDEX(Inputs!$H$40:$S$40,1,Z$11)</f>
        <v>0.13</v>
      </c>
      <c r="AA27" s="15">
        <f>INDEX(Inputs!$H$40:$S$40,1,AA$11)</f>
        <v>0.13</v>
      </c>
      <c r="AB27" s="15">
        <f>INDEX(Inputs!$H$40:$S$40,1,AB$11)</f>
        <v>0.13</v>
      </c>
      <c r="AC27" s="15">
        <f>INDEX(Inputs!$H$40:$S$40,1,AC$11)</f>
        <v>0.13</v>
      </c>
      <c r="AD27" s="15">
        <f>INDEX(Inputs!$H$40:$S$40,1,AD$11)</f>
        <v>0.11</v>
      </c>
      <c r="AE27" s="15">
        <f>INDEX(Inputs!$H$40:$S$40,1,AE$11)</f>
        <v>0.11</v>
      </c>
      <c r="AF27" s="15">
        <f>INDEX(Inputs!$H$40:$S$40,1,AF$11)</f>
        <v>0.11</v>
      </c>
      <c r="AG27" s="15">
        <f>INDEX(Inputs!$H$40:$S$40,1,AG$11)</f>
        <v>0.11</v>
      </c>
      <c r="AH27" s="15">
        <f>INDEX(Inputs!$H$40:$S$40,1,AH$11)</f>
        <v>0.1</v>
      </c>
      <c r="AI27" s="15">
        <f>INDEX(Inputs!$H$40:$S$40,1,AI$11)</f>
        <v>0.1</v>
      </c>
      <c r="AJ27" s="15">
        <f>INDEX(Inputs!$H$40:$S$40,1,AJ$11)</f>
        <v>0.1</v>
      </c>
      <c r="AK27" s="15">
        <f>INDEX(Inputs!$H$40:$S$40,1,AK$11)</f>
        <v>0.1</v>
      </c>
    </row>
    <row r="28" spans="1:37" x14ac:dyDescent="0.45">
      <c r="A28" s="12" t="s">
        <v>310</v>
      </c>
      <c r="B28" s="3" t="s">
        <v>207</v>
      </c>
      <c r="C28" s="12" t="s">
        <v>193</v>
      </c>
      <c r="X28" s="37">
        <f>INDEX(Inputs!$H$44:$K$44,1,X$10)</f>
        <v>2</v>
      </c>
      <c r="Y28" s="37">
        <f>INDEX(Inputs!$H$44:$K$44,1,Y$10)</f>
        <v>2</v>
      </c>
      <c r="Z28" s="37">
        <f>INDEX(Inputs!$H$44:$K$44,1,Z$10)</f>
        <v>2.1</v>
      </c>
      <c r="AA28" s="37">
        <f>INDEX(Inputs!$H$44:$K$44,1,AA$10)</f>
        <v>2.1</v>
      </c>
      <c r="AB28" s="37">
        <f>INDEX(Inputs!$H$44:$K$44,1,AB$10)</f>
        <v>2.1</v>
      </c>
      <c r="AC28" s="37">
        <f>INDEX(Inputs!$H$44:$K$44,1,AC$10)</f>
        <v>2.1</v>
      </c>
      <c r="AD28" s="37">
        <f>INDEX(Inputs!$H$44:$K$44,1,AD$10)</f>
        <v>2.2000000000000002</v>
      </c>
      <c r="AE28" s="37">
        <f>INDEX(Inputs!$H$44:$K$44,1,AE$10)</f>
        <v>2.2000000000000002</v>
      </c>
      <c r="AF28" s="37">
        <f>INDEX(Inputs!$H$44:$K$44,1,AF$10)</f>
        <v>2.2000000000000002</v>
      </c>
      <c r="AG28" s="37">
        <f>INDEX(Inputs!$H$44:$K$44,1,AG$10)</f>
        <v>2.2000000000000002</v>
      </c>
      <c r="AH28" s="37">
        <f>INDEX(Inputs!$H$44:$K$44,1,AH$10)</f>
        <v>2.2999999999999998</v>
      </c>
      <c r="AI28" s="37">
        <f>INDEX(Inputs!$H$44:$K$44,1,AI$10)</f>
        <v>2.2999999999999998</v>
      </c>
      <c r="AJ28" s="37">
        <f>INDEX(Inputs!$H$44:$K$44,1,AJ$10)</f>
        <v>2.2999999999999998</v>
      </c>
      <c r="AK28" s="37">
        <f>INDEX(Inputs!$H$44:$K$44,1,AK$10)</f>
        <v>2.2999999999999998</v>
      </c>
    </row>
    <row r="29" spans="1:37" x14ac:dyDescent="0.45">
      <c r="A29" s="12" t="s">
        <v>311</v>
      </c>
      <c r="B29" s="3" t="s">
        <v>210</v>
      </c>
      <c r="C29" s="12" t="s">
        <v>193</v>
      </c>
      <c r="X29" s="37">
        <f>INDEX(Inputs!$H$45:$K$45,1,X$10)</f>
        <v>5.4</v>
      </c>
      <c r="Y29" s="37">
        <f>INDEX(Inputs!$H$45:$K$45,1,Y$10)</f>
        <v>5.4</v>
      </c>
      <c r="Z29" s="37">
        <f>INDEX(Inputs!$H$45:$K$45,1,Z$10)</f>
        <v>5.3</v>
      </c>
      <c r="AA29" s="37">
        <f>INDEX(Inputs!$H$45:$K$45,1,AA$10)</f>
        <v>5.3</v>
      </c>
      <c r="AB29" s="37">
        <f>INDEX(Inputs!$H$45:$K$45,1,AB$10)</f>
        <v>5.3</v>
      </c>
      <c r="AC29" s="37">
        <f>INDEX(Inputs!$H$45:$K$45,1,AC$10)</f>
        <v>5.3</v>
      </c>
      <c r="AD29" s="37">
        <f>INDEX(Inputs!$H$45:$K$45,1,AD$10)</f>
        <v>5.2</v>
      </c>
      <c r="AE29" s="37">
        <f>INDEX(Inputs!$H$45:$K$45,1,AE$10)</f>
        <v>5.2</v>
      </c>
      <c r="AF29" s="37">
        <f>INDEX(Inputs!$H$45:$K$45,1,AF$10)</f>
        <v>5.2</v>
      </c>
      <c r="AG29" s="37">
        <f>INDEX(Inputs!$H$45:$K$45,1,AG$10)</f>
        <v>5.2</v>
      </c>
      <c r="AH29" s="37">
        <f>INDEX(Inputs!$H$45:$K$45,1,AH$10)</f>
        <v>5.0999999999999996</v>
      </c>
      <c r="AI29" s="37">
        <f>INDEX(Inputs!$H$45:$K$45,1,AI$10)</f>
        <v>5.0999999999999996</v>
      </c>
      <c r="AJ29" s="37">
        <f>INDEX(Inputs!$H$45:$K$45,1,AJ$10)</f>
        <v>5.0999999999999996</v>
      </c>
      <c r="AK29" s="37">
        <f>INDEX(Inputs!$H$45:$K$45,1,AK$10)</f>
        <v>5.0999999999999996</v>
      </c>
    </row>
    <row r="30" spans="1:37" x14ac:dyDescent="0.45">
      <c r="A30" s="12" t="s">
        <v>312</v>
      </c>
      <c r="B30" s="3" t="s">
        <v>213</v>
      </c>
      <c r="C30" s="12" t="s">
        <v>193</v>
      </c>
      <c r="X30" s="37">
        <f>INDEX(Inputs!$H$46:$K$46,1,X$10)</f>
        <v>13.5</v>
      </c>
      <c r="Y30" s="37">
        <f>INDEX(Inputs!$H$46:$K$46,1,Y$10)</f>
        <v>13.5</v>
      </c>
      <c r="Z30" s="37">
        <f>INDEX(Inputs!$H$46:$K$46,1,Z$10)</f>
        <v>13.3</v>
      </c>
      <c r="AA30" s="37">
        <f>INDEX(Inputs!$H$46:$K$46,1,AA$10)</f>
        <v>13.3</v>
      </c>
      <c r="AB30" s="37">
        <f>INDEX(Inputs!$H$46:$K$46,1,AB$10)</f>
        <v>13.3</v>
      </c>
      <c r="AC30" s="37">
        <f>INDEX(Inputs!$H$46:$K$46,1,AC$10)</f>
        <v>13.3</v>
      </c>
      <c r="AD30" s="37">
        <f>INDEX(Inputs!$H$46:$K$46,1,AD$10)</f>
        <v>13.1</v>
      </c>
      <c r="AE30" s="37">
        <f>INDEX(Inputs!$H$46:$K$46,1,AE$10)</f>
        <v>13.1</v>
      </c>
      <c r="AF30" s="37">
        <f>INDEX(Inputs!$H$46:$K$46,1,AF$10)</f>
        <v>13.1</v>
      </c>
      <c r="AG30" s="37">
        <f>INDEX(Inputs!$H$46:$K$46,1,AG$10)</f>
        <v>13.1</v>
      </c>
      <c r="AH30" s="37">
        <f>INDEX(Inputs!$H$46:$K$46,1,AH$10)</f>
        <v>12.9</v>
      </c>
      <c r="AI30" s="37">
        <f>INDEX(Inputs!$H$46:$K$46,1,AI$10)</f>
        <v>12.9</v>
      </c>
      <c r="AJ30" s="37">
        <f>INDEX(Inputs!$H$46:$K$46,1,AJ$10)</f>
        <v>12.9</v>
      </c>
      <c r="AK30" s="37">
        <f>INDEX(Inputs!$H$46:$K$46,1,AK$10)</f>
        <v>12.9</v>
      </c>
    </row>
    <row r="31" spans="1:37" x14ac:dyDescent="0.45">
      <c r="A31" s="12" t="s">
        <v>313</v>
      </c>
      <c r="B31" s="3" t="s">
        <v>216</v>
      </c>
      <c r="C31" s="12" t="s">
        <v>128</v>
      </c>
      <c r="X31" s="14">
        <f>INDEX(Inputs!$H$47:$K$47,1,X$10)</f>
        <v>4.75</v>
      </c>
      <c r="Y31" s="14">
        <f>INDEX(Inputs!$H$47:$K$47,1,Y$10)</f>
        <v>4.75</v>
      </c>
      <c r="Z31" s="14">
        <f>INDEX(Inputs!$H$47:$K$47,1,Z$10)</f>
        <v>4.75</v>
      </c>
      <c r="AA31" s="14">
        <f>INDEX(Inputs!$H$47:$K$47,1,AA$10)</f>
        <v>4.75</v>
      </c>
      <c r="AB31" s="14">
        <f>INDEX(Inputs!$H$47:$K$47,1,AB$10)</f>
        <v>4.75</v>
      </c>
      <c r="AC31" s="14">
        <f>INDEX(Inputs!$H$47:$K$47,1,AC$10)</f>
        <v>4.75</v>
      </c>
      <c r="AD31" s="14">
        <f>INDEX(Inputs!$H$47:$K$47,1,AD$10)</f>
        <v>4.75</v>
      </c>
      <c r="AE31" s="14">
        <f>INDEX(Inputs!$H$47:$K$47,1,AE$10)</f>
        <v>4.75</v>
      </c>
      <c r="AF31" s="14">
        <f>INDEX(Inputs!$H$47:$K$47,1,AF$10)</f>
        <v>4.75</v>
      </c>
      <c r="AG31" s="14">
        <f>INDEX(Inputs!$H$47:$K$47,1,AG$10)</f>
        <v>4.75</v>
      </c>
      <c r="AH31" s="14">
        <f>INDEX(Inputs!$H$47:$K$47,1,AH$10)</f>
        <v>4.75</v>
      </c>
      <c r="AI31" s="14">
        <f>INDEX(Inputs!$H$47:$K$47,1,AI$10)</f>
        <v>4.75</v>
      </c>
      <c r="AJ31" s="14">
        <f>INDEX(Inputs!$H$47:$K$47,1,AJ$10)</f>
        <v>4.75</v>
      </c>
      <c r="AK31" s="14">
        <f>INDEX(Inputs!$H$47:$K$47,1,AK$10)</f>
        <v>4.75</v>
      </c>
    </row>
    <row r="32" spans="1:37" x14ac:dyDescent="0.45">
      <c r="A32" s="12" t="s">
        <v>314</v>
      </c>
      <c r="B32" s="3" t="s">
        <v>219</v>
      </c>
      <c r="C32" s="12" t="s">
        <v>128</v>
      </c>
      <c r="X32" s="14">
        <f>INDEX(Inputs!$H$48:$K$48,1,X$10)</f>
        <v>1</v>
      </c>
      <c r="Y32" s="14">
        <f>INDEX(Inputs!$H$48:$K$48,1,Y$10)</f>
        <v>1</v>
      </c>
      <c r="Z32" s="14">
        <f>INDEX(Inputs!$H$48:$K$48,1,Z$10)</f>
        <v>1</v>
      </c>
      <c r="AA32" s="14">
        <f>INDEX(Inputs!$H$48:$K$48,1,AA$10)</f>
        <v>1</v>
      </c>
      <c r="AB32" s="14">
        <f>INDEX(Inputs!$H$48:$K$48,1,AB$10)</f>
        <v>1</v>
      </c>
      <c r="AC32" s="14">
        <f>INDEX(Inputs!$H$48:$K$48,1,AC$10)</f>
        <v>1</v>
      </c>
      <c r="AD32" s="14">
        <f>INDEX(Inputs!$H$48:$K$48,1,AD$10)</f>
        <v>1</v>
      </c>
      <c r="AE32" s="14">
        <f>INDEX(Inputs!$H$48:$K$48,1,AE$10)</f>
        <v>1</v>
      </c>
      <c r="AF32" s="14">
        <f>INDEX(Inputs!$H$48:$K$48,1,AF$10)</f>
        <v>1</v>
      </c>
      <c r="AG32" s="14">
        <f>INDEX(Inputs!$H$48:$K$48,1,AG$10)</f>
        <v>1</v>
      </c>
      <c r="AH32" s="14">
        <f>INDEX(Inputs!$H$48:$K$48,1,AH$10)</f>
        <v>1</v>
      </c>
      <c r="AI32" s="14">
        <f>INDEX(Inputs!$H$48:$K$48,1,AI$10)</f>
        <v>1</v>
      </c>
      <c r="AJ32" s="14">
        <f>INDEX(Inputs!$H$48:$K$48,1,AJ$10)</f>
        <v>1</v>
      </c>
      <c r="AK32" s="14">
        <f>INDEX(Inputs!$H$48:$K$48,1,AK$10)</f>
        <v>1</v>
      </c>
    </row>
    <row r="33" spans="1:37" x14ac:dyDescent="0.45">
      <c r="A33" s="12" t="s">
        <v>315</v>
      </c>
      <c r="B33" s="3" t="s">
        <v>222</v>
      </c>
      <c r="C33" s="12" t="s">
        <v>128</v>
      </c>
      <c r="X33" s="14">
        <f>INDEX(Inputs!$H$49:$K$49,1,X$10)</f>
        <v>10</v>
      </c>
      <c r="Y33" s="14">
        <f>INDEX(Inputs!$H$49:$K$49,1,Y$10)</f>
        <v>10</v>
      </c>
      <c r="Z33" s="14">
        <f>INDEX(Inputs!$H$49:$K$49,1,Z$10)</f>
        <v>10</v>
      </c>
      <c r="AA33" s="14">
        <f>INDEX(Inputs!$H$49:$K$49,1,AA$10)</f>
        <v>10</v>
      </c>
      <c r="AB33" s="14">
        <f>INDEX(Inputs!$H$49:$K$49,1,AB$10)</f>
        <v>10</v>
      </c>
      <c r="AC33" s="14">
        <f>INDEX(Inputs!$H$49:$K$49,1,AC$10)</f>
        <v>10</v>
      </c>
      <c r="AD33" s="14">
        <f>INDEX(Inputs!$H$49:$K$49,1,AD$10)</f>
        <v>10</v>
      </c>
      <c r="AE33" s="14">
        <f>INDEX(Inputs!$H$49:$K$49,1,AE$10)</f>
        <v>10</v>
      </c>
      <c r="AF33" s="14">
        <f>INDEX(Inputs!$H$49:$K$49,1,AF$10)</f>
        <v>10</v>
      </c>
      <c r="AG33" s="14">
        <f>INDEX(Inputs!$H$49:$K$49,1,AG$10)</f>
        <v>10</v>
      </c>
      <c r="AH33" s="14">
        <f>INDEX(Inputs!$H$49:$K$49,1,AH$10)</f>
        <v>10</v>
      </c>
      <c r="AI33" s="14">
        <f>INDEX(Inputs!$H$49:$K$49,1,AI$10)</f>
        <v>10</v>
      </c>
      <c r="AJ33" s="14">
        <f>INDEX(Inputs!$H$49:$K$49,1,AJ$10)</f>
        <v>10</v>
      </c>
      <c r="AK33" s="14">
        <f>INDEX(Inputs!$H$49:$K$49,1,AK$10)</f>
        <v>10</v>
      </c>
    </row>
    <row r="34" spans="1:37" x14ac:dyDescent="0.45">
      <c r="A34" s="12" t="s">
        <v>316</v>
      </c>
      <c r="B34" s="3" t="s">
        <v>225</v>
      </c>
      <c r="C34" s="12" t="s">
        <v>73</v>
      </c>
      <c r="X34" s="15">
        <f>INDEX(Inputs!$H$50:$K$50,1,X$10)</f>
        <v>0.1</v>
      </c>
      <c r="Y34" s="15">
        <f>INDEX(Inputs!$H$50:$K$50,1,Y$10)</f>
        <v>0.1</v>
      </c>
      <c r="Z34" s="15">
        <f>INDEX(Inputs!$H$50:$K$50,1,Z$10)</f>
        <v>0.09</v>
      </c>
      <c r="AA34" s="15">
        <f>INDEX(Inputs!$H$50:$K$50,1,AA$10)</f>
        <v>0.09</v>
      </c>
      <c r="AB34" s="15">
        <f>INDEX(Inputs!$H$50:$K$50,1,AB$10)</f>
        <v>0.09</v>
      </c>
      <c r="AC34" s="15">
        <f>INDEX(Inputs!$H$50:$K$50,1,AC$10)</f>
        <v>0.09</v>
      </c>
      <c r="AD34" s="15">
        <f>INDEX(Inputs!$H$50:$K$50,1,AD$10)</f>
        <v>8.5000000000000006E-2</v>
      </c>
      <c r="AE34" s="15">
        <f>INDEX(Inputs!$H$50:$K$50,1,AE$10)</f>
        <v>8.5000000000000006E-2</v>
      </c>
      <c r="AF34" s="15">
        <f>INDEX(Inputs!$H$50:$K$50,1,AF$10)</f>
        <v>8.5000000000000006E-2</v>
      </c>
      <c r="AG34" s="15">
        <f>INDEX(Inputs!$H$50:$K$50,1,AG$10)</f>
        <v>8.5000000000000006E-2</v>
      </c>
      <c r="AH34" s="15">
        <f>INDEX(Inputs!$H$50:$K$50,1,AH$10)</f>
        <v>0.08</v>
      </c>
      <c r="AI34" s="15">
        <f>INDEX(Inputs!$H$50:$K$50,1,AI$10)</f>
        <v>0.08</v>
      </c>
      <c r="AJ34" s="15">
        <f>INDEX(Inputs!$H$50:$K$50,1,AJ$10)</f>
        <v>0.08</v>
      </c>
      <c r="AK34" s="15">
        <f>INDEX(Inputs!$H$50:$K$50,1,AK$10)</f>
        <v>0.08</v>
      </c>
    </row>
    <row r="35" spans="1:37" x14ac:dyDescent="0.45">
      <c r="A35" s="12" t="s">
        <v>317</v>
      </c>
      <c r="B35" s="3" t="s">
        <v>228</v>
      </c>
      <c r="C35" s="12" t="s">
        <v>128</v>
      </c>
      <c r="X35" s="14">
        <f>INDEX(Inputs!$H$51:$K$51,1,X$10)</f>
        <v>5.5</v>
      </c>
      <c r="Y35" s="14">
        <f>INDEX(Inputs!$H$51:$K$51,1,Y$10)</f>
        <v>5.5</v>
      </c>
      <c r="Z35" s="14">
        <f>INDEX(Inputs!$H$51:$K$51,1,Z$10)</f>
        <v>5.5</v>
      </c>
      <c r="AA35" s="14">
        <f>INDEX(Inputs!$H$51:$K$51,1,AA$10)</f>
        <v>5.5</v>
      </c>
      <c r="AB35" s="14">
        <f>INDEX(Inputs!$H$51:$K$51,1,AB$10)</f>
        <v>5.5</v>
      </c>
      <c r="AC35" s="14">
        <f>INDEX(Inputs!$H$51:$K$51,1,AC$10)</f>
        <v>5.5</v>
      </c>
      <c r="AD35" s="14">
        <f>INDEX(Inputs!$H$51:$K$51,1,AD$10)</f>
        <v>5.5</v>
      </c>
      <c r="AE35" s="14">
        <f>INDEX(Inputs!$H$51:$K$51,1,AE$10)</f>
        <v>5.5</v>
      </c>
      <c r="AF35" s="14">
        <f>INDEX(Inputs!$H$51:$K$51,1,AF$10)</f>
        <v>5.5</v>
      </c>
      <c r="AG35" s="14">
        <f>INDEX(Inputs!$H$51:$K$51,1,AG$10)</f>
        <v>5.5</v>
      </c>
      <c r="AH35" s="14">
        <f>INDEX(Inputs!$H$51:$K$51,1,AH$10)</f>
        <v>5.5</v>
      </c>
      <c r="AI35" s="14">
        <f>INDEX(Inputs!$H$51:$K$51,1,AI$10)</f>
        <v>5.5</v>
      </c>
      <c r="AJ35" s="14">
        <f>INDEX(Inputs!$H$51:$K$51,1,AJ$10)</f>
        <v>5.5</v>
      </c>
      <c r="AK35" s="14">
        <f>INDEX(Inputs!$H$51:$K$51,1,AK$10)</f>
        <v>5.5</v>
      </c>
    </row>
    <row r="36" spans="1:37" x14ac:dyDescent="0.45">
      <c r="A36" s="12" t="s">
        <v>318</v>
      </c>
      <c r="B36" s="3" t="s">
        <v>231</v>
      </c>
      <c r="C36" s="12" t="s">
        <v>128</v>
      </c>
      <c r="X36" s="14">
        <f>INDEX(Inputs!$H$52:$K$52,1,X$10)</f>
        <v>0</v>
      </c>
      <c r="Y36" s="14">
        <f>INDEX(Inputs!$H$52:$K$52,1,Y$10)</f>
        <v>0</v>
      </c>
      <c r="Z36" s="14">
        <f>INDEX(Inputs!$H$52:$K$52,1,Z$10)</f>
        <v>0</v>
      </c>
      <c r="AA36" s="14">
        <f>INDEX(Inputs!$H$52:$K$52,1,AA$10)</f>
        <v>0</v>
      </c>
      <c r="AB36" s="14">
        <f>INDEX(Inputs!$H$52:$K$52,1,AB$10)</f>
        <v>0</v>
      </c>
      <c r="AC36" s="14">
        <f>INDEX(Inputs!$H$52:$K$52,1,AC$10)</f>
        <v>0</v>
      </c>
      <c r="AD36" s="14">
        <f>INDEX(Inputs!$H$52:$K$52,1,AD$10)</f>
        <v>0</v>
      </c>
      <c r="AE36" s="14">
        <f>INDEX(Inputs!$H$52:$K$52,1,AE$10)</f>
        <v>0</v>
      </c>
      <c r="AF36" s="14">
        <f>INDEX(Inputs!$H$52:$K$52,1,AF$10)</f>
        <v>0</v>
      </c>
      <c r="AG36" s="14">
        <f>INDEX(Inputs!$H$52:$K$52,1,AG$10)</f>
        <v>0</v>
      </c>
      <c r="AH36" s="14">
        <f>INDEX(Inputs!$H$52:$K$52,1,AH$10)</f>
        <v>0</v>
      </c>
      <c r="AI36" s="14">
        <f>INDEX(Inputs!$H$52:$K$52,1,AI$10)</f>
        <v>0</v>
      </c>
      <c r="AJ36" s="14">
        <f>INDEX(Inputs!$H$52:$K$52,1,AJ$10)</f>
        <v>0</v>
      </c>
      <c r="AK36" s="14">
        <f>INDEX(Inputs!$H$52:$K$52,1,AK$10)</f>
        <v>0</v>
      </c>
    </row>
    <row r="37" spans="1:37" x14ac:dyDescent="0.45">
      <c r="A37" s="12" t="s">
        <v>319</v>
      </c>
      <c r="B37" s="3" t="s">
        <v>234</v>
      </c>
      <c r="C37" s="12" t="s">
        <v>128</v>
      </c>
      <c r="X37" s="14">
        <f>INDEX(Inputs!$H$53:$K$53,1,X$10)</f>
        <v>0</v>
      </c>
      <c r="Y37" s="14">
        <f>INDEX(Inputs!$H$53:$K$53,1,Y$10)</f>
        <v>0</v>
      </c>
      <c r="Z37" s="14">
        <f>INDEX(Inputs!$H$53:$K$53,1,Z$10)</f>
        <v>0</v>
      </c>
      <c r="AA37" s="14">
        <f>INDEX(Inputs!$H$53:$K$53,1,AA$10)</f>
        <v>0</v>
      </c>
      <c r="AB37" s="14">
        <f>INDEX(Inputs!$H$53:$K$53,1,AB$10)</f>
        <v>0</v>
      </c>
      <c r="AC37" s="14">
        <f>INDEX(Inputs!$H$53:$K$53,1,AC$10)</f>
        <v>0</v>
      </c>
      <c r="AD37" s="14">
        <f>INDEX(Inputs!$H$53:$K$53,1,AD$10)</f>
        <v>0</v>
      </c>
      <c r="AE37" s="14">
        <f>INDEX(Inputs!$H$53:$K$53,1,AE$10)</f>
        <v>0</v>
      </c>
      <c r="AF37" s="14">
        <f>INDEX(Inputs!$H$53:$K$53,1,AF$10)</f>
        <v>0</v>
      </c>
      <c r="AG37" s="14">
        <f>INDEX(Inputs!$H$53:$K$53,1,AG$10)</f>
        <v>0</v>
      </c>
      <c r="AH37" s="14">
        <f>INDEX(Inputs!$H$53:$K$53,1,AH$10)</f>
        <v>0</v>
      </c>
      <c r="AI37" s="14">
        <f>INDEX(Inputs!$H$53:$K$53,1,AI$10)</f>
        <v>0</v>
      </c>
      <c r="AJ37" s="14">
        <f>INDEX(Inputs!$H$53:$K$53,1,AJ$10)</f>
        <v>0</v>
      </c>
      <c r="AK37" s="14">
        <f>INDEX(Inputs!$H$53:$K$53,1,AK$10)</f>
        <v>0</v>
      </c>
    </row>
    <row r="38" spans="1:37" x14ac:dyDescent="0.45">
      <c r="A38" s="12" t="s">
        <v>320</v>
      </c>
      <c r="B38" s="3" t="s">
        <v>237</v>
      </c>
      <c r="C38" s="12" t="s">
        <v>73</v>
      </c>
      <c r="X38" s="38">
        <f>INDEX(Inputs!$H$54:$K$54,1,X$10)</f>
        <v>2.5000000000000001E-2</v>
      </c>
      <c r="Y38" s="38">
        <f>INDEX(Inputs!$H$54:$K$54,1,Y$10)</f>
        <v>2.5000000000000001E-2</v>
      </c>
      <c r="Z38" s="38">
        <f>INDEX(Inputs!$H$54:$K$54,1,Z$10)</f>
        <v>2.4E-2</v>
      </c>
      <c r="AA38" s="38">
        <f>INDEX(Inputs!$H$54:$K$54,1,AA$10)</f>
        <v>2.4E-2</v>
      </c>
      <c r="AB38" s="38">
        <f>INDEX(Inputs!$H$54:$K$54,1,AB$10)</f>
        <v>2.4E-2</v>
      </c>
      <c r="AC38" s="38">
        <f>INDEX(Inputs!$H$54:$K$54,1,AC$10)</f>
        <v>2.4E-2</v>
      </c>
      <c r="AD38" s="38">
        <f>INDEX(Inputs!$H$54:$K$54,1,AD$10)</f>
        <v>2.3E-2</v>
      </c>
      <c r="AE38" s="38">
        <f>INDEX(Inputs!$H$54:$K$54,1,AE$10)</f>
        <v>2.3E-2</v>
      </c>
      <c r="AF38" s="38">
        <f>INDEX(Inputs!$H$54:$K$54,1,AF$10)</f>
        <v>2.3E-2</v>
      </c>
      <c r="AG38" s="38">
        <f>INDEX(Inputs!$H$54:$K$54,1,AG$10)</f>
        <v>2.3E-2</v>
      </c>
      <c r="AH38" s="38">
        <f>INDEX(Inputs!$H$54:$K$54,1,AH$10)</f>
        <v>2.3E-2</v>
      </c>
      <c r="AI38" s="38">
        <f>INDEX(Inputs!$H$54:$K$54,1,AI$10)</f>
        <v>2.3E-2</v>
      </c>
      <c r="AJ38" s="38">
        <f>INDEX(Inputs!$H$54:$K$54,1,AJ$10)</f>
        <v>2.3E-2</v>
      </c>
      <c r="AK38" s="38">
        <f>INDEX(Inputs!$H$54:$K$54,1,AK$10)</f>
        <v>2.3E-2</v>
      </c>
    </row>
    <row r="39" spans="1:37" x14ac:dyDescent="0.45">
      <c r="A39" s="12" t="s">
        <v>321</v>
      </c>
      <c r="B39" s="3" t="s">
        <v>240</v>
      </c>
      <c r="C39" s="12" t="s">
        <v>73</v>
      </c>
      <c r="X39" s="15">
        <f>INDEX(Inputs!$H$55:$K$55,1,X$10)</f>
        <v>0.05</v>
      </c>
      <c r="Y39" s="15">
        <f>INDEX(Inputs!$H$55:$K$55,1,Y$10)</f>
        <v>0.05</v>
      </c>
      <c r="Z39" s="15">
        <f>INDEX(Inputs!$H$55:$K$55,1,Z$10)</f>
        <v>0.06</v>
      </c>
      <c r="AA39" s="15">
        <f>INDEX(Inputs!$H$55:$K$55,1,AA$10)</f>
        <v>0.06</v>
      </c>
      <c r="AB39" s="15">
        <f>INDEX(Inputs!$H$55:$K$55,1,AB$10)</f>
        <v>0.06</v>
      </c>
      <c r="AC39" s="15">
        <f>INDEX(Inputs!$H$55:$K$55,1,AC$10)</f>
        <v>0.06</v>
      </c>
      <c r="AD39" s="15">
        <f>INDEX(Inputs!$H$55:$K$55,1,AD$10)</f>
        <v>0.08</v>
      </c>
      <c r="AE39" s="15">
        <f>INDEX(Inputs!$H$55:$K$55,1,AE$10)</f>
        <v>0.08</v>
      </c>
      <c r="AF39" s="15">
        <f>INDEX(Inputs!$H$55:$K$55,1,AF$10)</f>
        <v>0.08</v>
      </c>
      <c r="AG39" s="15">
        <f>INDEX(Inputs!$H$55:$K$55,1,AG$10)</f>
        <v>0.08</v>
      </c>
      <c r="AH39" s="15">
        <f>INDEX(Inputs!$H$55:$K$55,1,AH$10)</f>
        <v>0.1</v>
      </c>
      <c r="AI39" s="15">
        <f>INDEX(Inputs!$H$55:$K$55,1,AI$10)</f>
        <v>0.1</v>
      </c>
      <c r="AJ39" s="15">
        <f>INDEX(Inputs!$H$55:$K$55,1,AJ$10)</f>
        <v>0.1</v>
      </c>
      <c r="AK39" s="15">
        <f>INDEX(Inputs!$H$55:$K$55,1,AK$10)</f>
        <v>0.1</v>
      </c>
    </row>
    <row r="40" spans="1:37" x14ac:dyDescent="0.45">
      <c r="A40" s="12" t="s">
        <v>322</v>
      </c>
      <c r="B40" s="3" t="s">
        <v>243</v>
      </c>
      <c r="C40" s="12" t="s">
        <v>73</v>
      </c>
      <c r="X40" s="38">
        <f>INDEX(Inputs!$H$56:$K$56,1,X$10)</f>
        <v>8.5000000000000006E-3</v>
      </c>
      <c r="Y40" s="38">
        <f>INDEX(Inputs!$H$56:$K$56,1,Y$10)</f>
        <v>8.5000000000000006E-3</v>
      </c>
      <c r="Z40" s="38">
        <f>INDEX(Inputs!$H$56:$K$56,1,Z$10)</f>
        <v>8.5000000000000006E-3</v>
      </c>
      <c r="AA40" s="38">
        <f>INDEX(Inputs!$H$56:$K$56,1,AA$10)</f>
        <v>8.5000000000000006E-3</v>
      </c>
      <c r="AB40" s="38">
        <f>INDEX(Inputs!$H$56:$K$56,1,AB$10)</f>
        <v>8.5000000000000006E-3</v>
      </c>
      <c r="AC40" s="38">
        <f>INDEX(Inputs!$H$56:$K$56,1,AC$10)</f>
        <v>8.5000000000000006E-3</v>
      </c>
      <c r="AD40" s="38">
        <f>INDEX(Inputs!$H$56:$K$56,1,AD$10)</f>
        <v>8.5000000000000006E-3</v>
      </c>
      <c r="AE40" s="38">
        <f>INDEX(Inputs!$H$56:$K$56,1,AE$10)</f>
        <v>8.5000000000000006E-3</v>
      </c>
      <c r="AF40" s="38">
        <f>INDEX(Inputs!$H$56:$K$56,1,AF$10)</f>
        <v>8.5000000000000006E-3</v>
      </c>
      <c r="AG40" s="38">
        <f>INDEX(Inputs!$H$56:$K$56,1,AG$10)</f>
        <v>8.5000000000000006E-3</v>
      </c>
      <c r="AH40" s="38">
        <f>INDEX(Inputs!$H$56:$K$56,1,AH$10)</f>
        <v>8.5000000000000006E-3</v>
      </c>
      <c r="AI40" s="38">
        <f>INDEX(Inputs!$H$56:$K$56,1,AI$10)</f>
        <v>8.5000000000000006E-3</v>
      </c>
      <c r="AJ40" s="38">
        <f>INDEX(Inputs!$H$56:$K$56,1,AJ$10)</f>
        <v>8.5000000000000006E-3</v>
      </c>
      <c r="AK40" s="38">
        <f>INDEX(Inputs!$H$56:$K$56,1,AK$10)</f>
        <v>8.5000000000000006E-3</v>
      </c>
    </row>
    <row r="41" spans="1:37" x14ac:dyDescent="0.45">
      <c r="A41" s="12" t="s">
        <v>323</v>
      </c>
      <c r="B41" s="3" t="s">
        <v>246</v>
      </c>
      <c r="C41" s="12" t="s">
        <v>73</v>
      </c>
      <c r="X41" s="15">
        <f>INDEX(Inputs!$H$57:$K$57,1,X$10)</f>
        <v>9.5000000000000001E-2</v>
      </c>
      <c r="Y41" s="15">
        <f>INDEX(Inputs!$H$57:$K$57,1,Y$10)</f>
        <v>9.5000000000000001E-2</v>
      </c>
      <c r="Z41" s="15">
        <f>INDEX(Inputs!$H$57:$K$57,1,Z$10)</f>
        <v>9.5000000000000001E-2</v>
      </c>
      <c r="AA41" s="15">
        <f>INDEX(Inputs!$H$57:$K$57,1,AA$10)</f>
        <v>9.5000000000000001E-2</v>
      </c>
      <c r="AB41" s="15">
        <f>INDEX(Inputs!$H$57:$K$57,1,AB$10)</f>
        <v>9.5000000000000001E-2</v>
      </c>
      <c r="AC41" s="15">
        <f>INDEX(Inputs!$H$57:$K$57,1,AC$10)</f>
        <v>9.5000000000000001E-2</v>
      </c>
      <c r="AD41" s="15">
        <f>INDEX(Inputs!$H$57:$K$57,1,AD$10)</f>
        <v>9.5000000000000001E-2</v>
      </c>
      <c r="AE41" s="15">
        <f>INDEX(Inputs!$H$57:$K$57,1,AE$10)</f>
        <v>9.5000000000000001E-2</v>
      </c>
      <c r="AF41" s="15">
        <f>INDEX(Inputs!$H$57:$K$57,1,AF$10)</f>
        <v>9.5000000000000001E-2</v>
      </c>
      <c r="AG41" s="15">
        <f>INDEX(Inputs!$H$57:$K$57,1,AG$10)</f>
        <v>9.5000000000000001E-2</v>
      </c>
      <c r="AH41" s="15">
        <f>INDEX(Inputs!$H$57:$K$57,1,AH$10)</f>
        <v>9.5000000000000001E-2</v>
      </c>
      <c r="AI41" s="15">
        <f>INDEX(Inputs!$H$57:$K$57,1,AI$10)</f>
        <v>9.5000000000000001E-2</v>
      </c>
      <c r="AJ41" s="15">
        <f>INDEX(Inputs!$H$57:$K$57,1,AJ$10)</f>
        <v>9.5000000000000001E-2</v>
      </c>
      <c r="AK41" s="15">
        <f>INDEX(Inputs!$H$57:$K$57,1,AK$10)</f>
        <v>9.5000000000000001E-2</v>
      </c>
    </row>
    <row r="42" spans="1:37" x14ac:dyDescent="0.45">
      <c r="A42" s="12" t="s">
        <v>324</v>
      </c>
      <c r="B42" s="3" t="s">
        <v>249</v>
      </c>
      <c r="C42" s="12" t="s">
        <v>128</v>
      </c>
      <c r="X42" s="13">
        <f>INDEX(Inputs!$H$58:$K$58,1,X$10)</f>
        <v>150</v>
      </c>
      <c r="Y42" s="13">
        <f>INDEX(Inputs!$H$58:$K$58,1,Y$10)</f>
        <v>150</v>
      </c>
      <c r="Z42" s="13">
        <f>INDEX(Inputs!$H$58:$K$58,1,Z$10)</f>
        <v>150</v>
      </c>
      <c r="AA42" s="13">
        <f>INDEX(Inputs!$H$58:$K$58,1,AA$10)</f>
        <v>150</v>
      </c>
      <c r="AB42" s="13">
        <f>INDEX(Inputs!$H$58:$K$58,1,AB$10)</f>
        <v>150</v>
      </c>
      <c r="AC42" s="13">
        <f>INDEX(Inputs!$H$58:$K$58,1,AC$10)</f>
        <v>150</v>
      </c>
      <c r="AD42" s="13">
        <f>INDEX(Inputs!$H$58:$K$58,1,AD$10)</f>
        <v>150</v>
      </c>
      <c r="AE42" s="13">
        <f>INDEX(Inputs!$H$58:$K$58,1,AE$10)</f>
        <v>150</v>
      </c>
      <c r="AF42" s="13">
        <f>INDEX(Inputs!$H$58:$K$58,1,AF$10)</f>
        <v>150</v>
      </c>
      <c r="AG42" s="13">
        <f>INDEX(Inputs!$H$58:$K$58,1,AG$10)</f>
        <v>150</v>
      </c>
      <c r="AH42" s="13">
        <f>INDEX(Inputs!$H$58:$K$58,1,AH$10)</f>
        <v>150</v>
      </c>
      <c r="AI42" s="13">
        <f>INDEX(Inputs!$H$58:$K$58,1,AI$10)</f>
        <v>150</v>
      </c>
      <c r="AJ42" s="13">
        <f>INDEX(Inputs!$H$58:$K$58,1,AJ$10)</f>
        <v>150</v>
      </c>
      <c r="AK42" s="13">
        <f>INDEX(Inputs!$H$58:$K$58,1,AK$10)</f>
        <v>150</v>
      </c>
    </row>
    <row r="43" spans="1:37" x14ac:dyDescent="0.45">
      <c r="A43" s="12" t="s">
        <v>325</v>
      </c>
      <c r="B43" s="3" t="s">
        <v>252</v>
      </c>
      <c r="C43" s="12" t="s">
        <v>128</v>
      </c>
      <c r="X43" s="13">
        <f>INDEX(Inputs!$H$59:$K$59,1,X$10)</f>
        <v>0</v>
      </c>
      <c r="Y43" s="13">
        <f>INDEX(Inputs!$H$59:$K$59,1,Y$10)</f>
        <v>0</v>
      </c>
      <c r="Z43" s="13">
        <f>INDEX(Inputs!$H$59:$K$59,1,Z$10)</f>
        <v>0</v>
      </c>
      <c r="AA43" s="13">
        <f>INDEX(Inputs!$H$59:$K$59,1,AA$10)</f>
        <v>0</v>
      </c>
      <c r="AB43" s="13">
        <f>INDEX(Inputs!$H$59:$K$59,1,AB$10)</f>
        <v>0</v>
      </c>
      <c r="AC43" s="13">
        <f>INDEX(Inputs!$H$59:$K$59,1,AC$10)</f>
        <v>0</v>
      </c>
      <c r="AD43" s="13">
        <f>INDEX(Inputs!$H$59:$K$59,1,AD$10)</f>
        <v>0</v>
      </c>
      <c r="AE43" s="13">
        <f>INDEX(Inputs!$H$59:$K$59,1,AE$10)</f>
        <v>0</v>
      </c>
      <c r="AF43" s="13">
        <f>INDEX(Inputs!$H$59:$K$59,1,AF$10)</f>
        <v>0</v>
      </c>
      <c r="AG43" s="13">
        <f>INDEX(Inputs!$H$59:$K$59,1,AG$10)</f>
        <v>0</v>
      </c>
      <c r="AH43" s="13">
        <f>INDEX(Inputs!$H$59:$K$59,1,AH$10)</f>
        <v>0</v>
      </c>
      <c r="AI43" s="13">
        <f>INDEX(Inputs!$H$59:$K$59,1,AI$10)</f>
        <v>0</v>
      </c>
      <c r="AJ43" s="13">
        <f>INDEX(Inputs!$H$59:$K$59,1,AJ$10)</f>
        <v>0</v>
      </c>
      <c r="AK43" s="13">
        <f>INDEX(Inputs!$H$59:$K$59,1,AK$10)</f>
        <v>0</v>
      </c>
    </row>
    <row r="44" spans="1:37" x14ac:dyDescent="0.45">
      <c r="A44" s="12" t="s">
        <v>326</v>
      </c>
      <c r="B44" s="3" t="s">
        <v>255</v>
      </c>
      <c r="C44" s="12" t="s">
        <v>128</v>
      </c>
      <c r="X44" s="13">
        <f>INDEX(Inputs!$H$60:$K$60,1,X$10)</f>
        <v>0</v>
      </c>
      <c r="Y44" s="13">
        <f>INDEX(Inputs!$H$60:$K$60,1,Y$10)</f>
        <v>0</v>
      </c>
      <c r="Z44" s="13">
        <f>INDEX(Inputs!$H$60:$K$60,1,Z$10)</f>
        <v>0</v>
      </c>
      <c r="AA44" s="13">
        <f>INDEX(Inputs!$H$60:$K$60,1,AA$10)</f>
        <v>0</v>
      </c>
      <c r="AB44" s="13">
        <f>INDEX(Inputs!$H$60:$K$60,1,AB$10)</f>
        <v>0</v>
      </c>
      <c r="AC44" s="13">
        <f>INDEX(Inputs!$H$60:$K$60,1,AC$10)</f>
        <v>0</v>
      </c>
      <c r="AD44" s="13">
        <f>INDEX(Inputs!$H$60:$K$60,1,AD$10)</f>
        <v>0</v>
      </c>
      <c r="AE44" s="13">
        <f>INDEX(Inputs!$H$60:$K$60,1,AE$10)</f>
        <v>0</v>
      </c>
      <c r="AF44" s="13">
        <f>INDEX(Inputs!$H$60:$K$60,1,AF$10)</f>
        <v>0</v>
      </c>
      <c r="AG44" s="13">
        <f>INDEX(Inputs!$H$60:$K$60,1,AG$10)</f>
        <v>0</v>
      </c>
      <c r="AH44" s="13">
        <f>INDEX(Inputs!$H$60:$K$60,1,AH$10)</f>
        <v>0</v>
      </c>
      <c r="AI44" s="13">
        <f>INDEX(Inputs!$H$60:$K$60,1,AI$10)</f>
        <v>0</v>
      </c>
      <c r="AJ44" s="13">
        <f>INDEX(Inputs!$H$60:$K$60,1,AJ$10)</f>
        <v>0</v>
      </c>
      <c r="AK44" s="13">
        <f>INDEX(Inputs!$H$60:$K$60,1,AK$10)</f>
        <v>0</v>
      </c>
    </row>
    <row r="45" spans="1:37" x14ac:dyDescent="0.45">
      <c r="A45" s="12" t="s">
        <v>327</v>
      </c>
      <c r="B45" s="3" t="s">
        <v>258</v>
      </c>
      <c r="C45" s="12" t="s">
        <v>259</v>
      </c>
      <c r="X45" s="32">
        <f>INDEX(Inputs!$H$61:$K$61,1,X$10)</f>
        <v>7</v>
      </c>
      <c r="Y45" s="32">
        <f>INDEX(Inputs!$H$61:$K$61,1,Y$10)</f>
        <v>7</v>
      </c>
      <c r="Z45" s="32">
        <f>INDEX(Inputs!$H$61:$K$61,1,Z$10)</f>
        <v>7</v>
      </c>
      <c r="AA45" s="32">
        <f>INDEX(Inputs!$H$61:$K$61,1,AA$10)</f>
        <v>7</v>
      </c>
      <c r="AB45" s="32">
        <f>INDEX(Inputs!$H$61:$K$61,1,AB$10)</f>
        <v>7</v>
      </c>
      <c r="AC45" s="32">
        <f>INDEX(Inputs!$H$61:$K$61,1,AC$10)</f>
        <v>7</v>
      </c>
      <c r="AD45" s="32">
        <f>INDEX(Inputs!$H$61:$K$61,1,AD$10)</f>
        <v>7</v>
      </c>
      <c r="AE45" s="32">
        <f>INDEX(Inputs!$H$61:$K$61,1,AE$10)</f>
        <v>7</v>
      </c>
      <c r="AF45" s="32">
        <f>INDEX(Inputs!$H$61:$K$61,1,AF$10)</f>
        <v>7</v>
      </c>
      <c r="AG45" s="32">
        <f>INDEX(Inputs!$H$61:$K$61,1,AG$10)</f>
        <v>7</v>
      </c>
      <c r="AH45" s="32">
        <f>INDEX(Inputs!$H$61:$K$61,1,AH$10)</f>
        <v>7</v>
      </c>
      <c r="AI45" s="32">
        <f>INDEX(Inputs!$H$61:$K$61,1,AI$10)</f>
        <v>7</v>
      </c>
      <c r="AJ45" s="32">
        <f>INDEX(Inputs!$H$61:$K$61,1,AJ$10)</f>
        <v>7</v>
      </c>
      <c r="AK45" s="32">
        <f>INDEX(Inputs!$H$61:$K$61,1,AK$10)</f>
        <v>7</v>
      </c>
    </row>
    <row r="46" spans="1:37" x14ac:dyDescent="0.45">
      <c r="A46" s="12" t="s">
        <v>328</v>
      </c>
      <c r="B46" s="3" t="s">
        <v>262</v>
      </c>
      <c r="C46" s="12" t="s">
        <v>259</v>
      </c>
      <c r="X46" s="32">
        <f>INDEX(Inputs!$H$62:$K$62,1,X$10)</f>
        <v>165</v>
      </c>
      <c r="Y46" s="32">
        <f>INDEX(Inputs!$H$62:$K$62,1,Y$10)</f>
        <v>165</v>
      </c>
      <c r="Z46" s="32">
        <f>INDEX(Inputs!$H$62:$K$62,1,Z$10)</f>
        <v>130</v>
      </c>
      <c r="AA46" s="32">
        <f>INDEX(Inputs!$H$62:$K$62,1,AA$10)</f>
        <v>130</v>
      </c>
      <c r="AB46" s="32">
        <f>INDEX(Inputs!$H$62:$K$62,1,AB$10)</f>
        <v>130</v>
      </c>
      <c r="AC46" s="32">
        <f>INDEX(Inputs!$H$62:$K$62,1,AC$10)</f>
        <v>130</v>
      </c>
      <c r="AD46" s="32">
        <f>INDEX(Inputs!$H$62:$K$62,1,AD$10)</f>
        <v>110</v>
      </c>
      <c r="AE46" s="32">
        <f>INDEX(Inputs!$H$62:$K$62,1,AE$10)</f>
        <v>110</v>
      </c>
      <c r="AF46" s="32">
        <f>INDEX(Inputs!$H$62:$K$62,1,AF$10)</f>
        <v>110</v>
      </c>
      <c r="AG46" s="32">
        <f>INDEX(Inputs!$H$62:$K$62,1,AG$10)</f>
        <v>110</v>
      </c>
      <c r="AH46" s="32">
        <f>INDEX(Inputs!$H$62:$K$62,1,AH$10)</f>
        <v>110</v>
      </c>
      <c r="AI46" s="32">
        <f>INDEX(Inputs!$H$62:$K$62,1,AI$10)</f>
        <v>110</v>
      </c>
      <c r="AJ46" s="32">
        <f>INDEX(Inputs!$H$62:$K$62,1,AJ$10)</f>
        <v>110</v>
      </c>
      <c r="AK46" s="32">
        <f>INDEX(Inputs!$H$62:$K$62,1,AK$10)</f>
        <v>110</v>
      </c>
    </row>
    <row r="47" spans="1:37" x14ac:dyDescent="0.45">
      <c r="A47" s="12" t="s">
        <v>329</v>
      </c>
      <c r="B47" s="3" t="s">
        <v>265</v>
      </c>
      <c r="C47" s="12" t="s">
        <v>259</v>
      </c>
      <c r="X47" s="32">
        <f>INDEX(Inputs!$H$63:$K$63,1,X$10)</f>
        <v>3.8</v>
      </c>
      <c r="Y47" s="32">
        <f>INDEX(Inputs!$H$63:$K$63,1,Y$10)</f>
        <v>3.8</v>
      </c>
      <c r="Z47" s="32">
        <f>INDEX(Inputs!$H$63:$K$63,1,Z$10)</f>
        <v>3.8</v>
      </c>
      <c r="AA47" s="32">
        <f>INDEX(Inputs!$H$63:$K$63,1,AA$10)</f>
        <v>3.8</v>
      </c>
      <c r="AB47" s="32">
        <f>INDEX(Inputs!$H$63:$K$63,1,AB$10)</f>
        <v>3.8</v>
      </c>
      <c r="AC47" s="32">
        <f>INDEX(Inputs!$H$63:$K$63,1,AC$10)</f>
        <v>3.8</v>
      </c>
      <c r="AD47" s="32">
        <f>INDEX(Inputs!$H$63:$K$63,1,AD$10)</f>
        <v>3.8</v>
      </c>
      <c r="AE47" s="32">
        <f>INDEX(Inputs!$H$63:$K$63,1,AE$10)</f>
        <v>3.8</v>
      </c>
      <c r="AF47" s="32">
        <f>INDEX(Inputs!$H$63:$K$63,1,AF$10)</f>
        <v>3.8</v>
      </c>
      <c r="AG47" s="32">
        <f>INDEX(Inputs!$H$63:$K$63,1,AG$10)</f>
        <v>3.8</v>
      </c>
      <c r="AH47" s="32">
        <f>INDEX(Inputs!$H$63:$K$63,1,AH$10)</f>
        <v>3.8</v>
      </c>
      <c r="AI47" s="32">
        <f>INDEX(Inputs!$H$63:$K$63,1,AI$10)</f>
        <v>3.8</v>
      </c>
      <c r="AJ47" s="32">
        <f>INDEX(Inputs!$H$63:$K$63,1,AJ$10)</f>
        <v>3.8</v>
      </c>
      <c r="AK47" s="32">
        <f>INDEX(Inputs!$H$63:$K$63,1,AK$10)</f>
        <v>3.8</v>
      </c>
    </row>
    <row r="48" spans="1:37" x14ac:dyDescent="0.45">
      <c r="A48" s="12" t="s">
        <v>330</v>
      </c>
      <c r="B48" s="3" t="s">
        <v>267</v>
      </c>
      <c r="C48" s="12" t="s">
        <v>73</v>
      </c>
      <c r="X48" s="15">
        <f>INDEX(Inputs!$H$64:$K$64,1,X$10)</f>
        <v>0.26500000000000001</v>
      </c>
      <c r="Y48" s="15">
        <f>INDEX(Inputs!$H$64:$K$64,1,Y$10)</f>
        <v>0.26500000000000001</v>
      </c>
      <c r="Z48" s="15">
        <f>INDEX(Inputs!$H$64:$K$64,1,Z$10)</f>
        <v>0.26500000000000001</v>
      </c>
      <c r="AA48" s="15">
        <f>INDEX(Inputs!$H$64:$K$64,1,AA$10)</f>
        <v>0.26500000000000001</v>
      </c>
      <c r="AB48" s="15">
        <f>INDEX(Inputs!$H$64:$K$64,1,AB$10)</f>
        <v>0.26500000000000001</v>
      </c>
      <c r="AC48" s="15">
        <f>INDEX(Inputs!$H$64:$K$64,1,AC$10)</f>
        <v>0.26500000000000001</v>
      </c>
      <c r="AD48" s="15">
        <f>INDEX(Inputs!$H$64:$K$64,1,AD$10)</f>
        <v>0.26500000000000001</v>
      </c>
      <c r="AE48" s="15">
        <f>INDEX(Inputs!$H$64:$K$64,1,AE$10)</f>
        <v>0.26500000000000001</v>
      </c>
      <c r="AF48" s="15">
        <f>INDEX(Inputs!$H$64:$K$64,1,AF$10)</f>
        <v>0.26500000000000001</v>
      </c>
      <c r="AG48" s="15">
        <f>INDEX(Inputs!$H$64:$K$64,1,AG$10)</f>
        <v>0.26500000000000001</v>
      </c>
      <c r="AH48" s="15">
        <f>INDEX(Inputs!$H$64:$K$64,1,AH$10)</f>
        <v>0.26500000000000001</v>
      </c>
      <c r="AI48" s="15">
        <f>INDEX(Inputs!$H$64:$K$64,1,AI$10)</f>
        <v>0.26500000000000001</v>
      </c>
      <c r="AJ48" s="15">
        <f>INDEX(Inputs!$H$64:$K$64,1,AJ$10)</f>
        <v>0.26500000000000001</v>
      </c>
      <c r="AK48" s="15">
        <f>INDEX(Inputs!$H$64:$K$64,1,AK$10)</f>
        <v>0.26500000000000001</v>
      </c>
    </row>
    <row r="49" spans="1:37" x14ac:dyDescent="0.45">
      <c r="A49" s="12" t="s">
        <v>331</v>
      </c>
      <c r="B49" s="3" t="s">
        <v>269</v>
      </c>
      <c r="C49" s="12" t="s">
        <v>73</v>
      </c>
      <c r="X49" s="15">
        <f>INDEX(Inputs!$H$65:$K$65,1,X$10)</f>
        <v>0.19</v>
      </c>
      <c r="Y49" s="15">
        <f>INDEX(Inputs!$H$65:$K$65,1,Y$10)</f>
        <v>0.19</v>
      </c>
      <c r="Z49" s="15">
        <f>INDEX(Inputs!$H$65:$K$65,1,Z$10)</f>
        <v>0.19</v>
      </c>
      <c r="AA49" s="15">
        <f>INDEX(Inputs!$H$65:$K$65,1,AA$10)</f>
        <v>0.19</v>
      </c>
      <c r="AB49" s="15">
        <f>INDEX(Inputs!$H$65:$K$65,1,AB$10)</f>
        <v>0.19</v>
      </c>
      <c r="AC49" s="15">
        <f>INDEX(Inputs!$H$65:$K$65,1,AC$10)</f>
        <v>0.19</v>
      </c>
      <c r="AD49" s="15">
        <f>INDEX(Inputs!$H$65:$K$65,1,AD$10)</f>
        <v>0.19</v>
      </c>
      <c r="AE49" s="15">
        <f>INDEX(Inputs!$H$65:$K$65,1,AE$10)</f>
        <v>0.19</v>
      </c>
      <c r="AF49" s="15">
        <f>INDEX(Inputs!$H$65:$K$65,1,AF$10)</f>
        <v>0.19</v>
      </c>
      <c r="AG49" s="15">
        <f>INDEX(Inputs!$H$65:$K$65,1,AG$10)</f>
        <v>0.19</v>
      </c>
      <c r="AH49" s="15">
        <f>INDEX(Inputs!$H$65:$K$65,1,AH$10)</f>
        <v>0.19</v>
      </c>
      <c r="AI49" s="15">
        <f>INDEX(Inputs!$H$65:$K$65,1,AI$10)</f>
        <v>0.19</v>
      </c>
      <c r="AJ49" s="15">
        <f>INDEX(Inputs!$H$65:$K$65,1,AJ$10)</f>
        <v>0.19</v>
      </c>
      <c r="AK49" s="15">
        <f>INDEX(Inputs!$H$65:$K$65,1,AK$10)</f>
        <v>0.19</v>
      </c>
    </row>
    <row r="50" spans="1:37" x14ac:dyDescent="0.45">
      <c r="A50" s="12" t="s">
        <v>332</v>
      </c>
      <c r="B50" s="3" t="s">
        <v>272</v>
      </c>
      <c r="C50" s="12" t="s">
        <v>73</v>
      </c>
      <c r="X50" s="15">
        <f>INDEX(Inputs!$H$66:$K$66,1,X$10)</f>
        <v>9.5000000000000001E-2</v>
      </c>
      <c r="Y50" s="15">
        <f>INDEX(Inputs!$H$66:$K$66,1,Y$10)</f>
        <v>9.5000000000000001E-2</v>
      </c>
      <c r="Z50" s="15">
        <f>INDEX(Inputs!$H$66:$K$66,1,Z$10)</f>
        <v>9.5000000000000001E-2</v>
      </c>
      <c r="AA50" s="15">
        <f>INDEX(Inputs!$H$66:$K$66,1,AA$10)</f>
        <v>9.5000000000000001E-2</v>
      </c>
      <c r="AB50" s="15">
        <f>INDEX(Inputs!$H$66:$K$66,1,AB$10)</f>
        <v>9.5000000000000001E-2</v>
      </c>
      <c r="AC50" s="15">
        <f>INDEX(Inputs!$H$66:$K$66,1,AC$10)</f>
        <v>9.5000000000000001E-2</v>
      </c>
      <c r="AD50" s="15">
        <f>INDEX(Inputs!$H$66:$K$66,1,AD$10)</f>
        <v>9.5000000000000001E-2</v>
      </c>
      <c r="AE50" s="15">
        <f>INDEX(Inputs!$H$66:$K$66,1,AE$10)</f>
        <v>9.5000000000000001E-2</v>
      </c>
      <c r="AF50" s="15">
        <f>INDEX(Inputs!$H$66:$K$66,1,AF$10)</f>
        <v>9.5000000000000001E-2</v>
      </c>
      <c r="AG50" s="15">
        <f>INDEX(Inputs!$H$66:$K$66,1,AG$10)</f>
        <v>9.5000000000000001E-2</v>
      </c>
      <c r="AH50" s="15">
        <f>INDEX(Inputs!$H$66:$K$66,1,AH$10)</f>
        <v>9.5000000000000001E-2</v>
      </c>
      <c r="AI50" s="15">
        <f>INDEX(Inputs!$H$66:$K$66,1,AI$10)</f>
        <v>9.5000000000000001E-2</v>
      </c>
      <c r="AJ50" s="15">
        <f>INDEX(Inputs!$H$66:$K$66,1,AJ$10)</f>
        <v>9.5000000000000001E-2</v>
      </c>
      <c r="AK50" s="15">
        <f>INDEX(Inputs!$H$66:$K$66,1,AK$10)</f>
        <v>9.5000000000000001E-2</v>
      </c>
    </row>
    <row r="51" spans="1:37" x14ac:dyDescent="0.45">
      <c r="A51" s="12" t="s">
        <v>333</v>
      </c>
      <c r="B51" s="3" t="s">
        <v>275</v>
      </c>
      <c r="C51" s="12" t="s">
        <v>73</v>
      </c>
      <c r="X51" s="15">
        <f>INDEX(Inputs!$H$67:$K$67,1,X$10)</f>
        <v>0.71</v>
      </c>
      <c r="Y51" s="15">
        <f>INDEX(Inputs!$H$67:$K$67,1,Y$10)</f>
        <v>0.71</v>
      </c>
      <c r="Z51" s="15">
        <f>INDEX(Inputs!$H$67:$K$67,1,Z$10)</f>
        <v>0.71</v>
      </c>
      <c r="AA51" s="15">
        <f>INDEX(Inputs!$H$67:$K$67,1,AA$10)</f>
        <v>0.71</v>
      </c>
      <c r="AB51" s="15">
        <f>INDEX(Inputs!$H$67:$K$67,1,AB$10)</f>
        <v>0.71</v>
      </c>
      <c r="AC51" s="15">
        <f>INDEX(Inputs!$H$67:$K$67,1,AC$10)</f>
        <v>0.71</v>
      </c>
      <c r="AD51" s="15">
        <f>INDEX(Inputs!$H$67:$K$67,1,AD$10)</f>
        <v>0.71</v>
      </c>
      <c r="AE51" s="15">
        <f>INDEX(Inputs!$H$67:$K$67,1,AE$10)</f>
        <v>0.71</v>
      </c>
      <c r="AF51" s="15">
        <f>INDEX(Inputs!$H$67:$K$67,1,AF$10)</f>
        <v>0.71</v>
      </c>
      <c r="AG51" s="15">
        <f>INDEX(Inputs!$H$67:$K$67,1,AG$10)</f>
        <v>0.71</v>
      </c>
      <c r="AH51" s="15">
        <f>INDEX(Inputs!$H$67:$K$67,1,AH$10)</f>
        <v>0.71</v>
      </c>
      <c r="AI51" s="15">
        <f>INDEX(Inputs!$H$67:$K$67,1,AI$10)</f>
        <v>0.71</v>
      </c>
      <c r="AJ51" s="15">
        <f>INDEX(Inputs!$H$67:$K$67,1,AJ$10)</f>
        <v>0.71</v>
      </c>
      <c r="AK51" s="15">
        <f>INDEX(Inputs!$H$67:$K$67,1,AK$10)</f>
        <v>0.71</v>
      </c>
    </row>
  </sheetData>
  <pageMargins left="0.75" right="0.75" top="1" bottom="1" header="0.5" footer="0.5"/>
  <pageSetup fitToHeight="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K64"/>
  <sheetViews>
    <sheetView showGridLines="0" zoomScale="90" workbookViewId="0">
      <pane xSplit="4" ySplit="8" topLeftCell="E9" activePane="bottomRight" state="frozen"/>
      <selection pane="topRight"/>
      <selection pane="bottomLeft"/>
      <selection pane="bottomRight"/>
    </sheetView>
  </sheetViews>
  <sheetFormatPr defaultRowHeight="14.25" x14ac:dyDescent="0.45"/>
  <cols>
    <col min="1" max="1" width="13" customWidth="1"/>
    <col min="2" max="2" width="50" customWidth="1"/>
    <col min="3" max="3" width="11" customWidth="1"/>
    <col min="4" max="4" width="3" customWidth="1"/>
    <col min="5" max="37" width="10" customWidth="1"/>
  </cols>
  <sheetData>
    <row r="1" spans="1:37" ht="18" x14ac:dyDescent="0.55000000000000004">
      <c r="A1" s="1" t="s">
        <v>334</v>
      </c>
    </row>
    <row r="2" spans="1:37" x14ac:dyDescent="0.45">
      <c r="A2" s="2" t="s">
        <v>335</v>
      </c>
    </row>
    <row r="4" spans="1:37" x14ac:dyDescent="0.45">
      <c r="A4" s="12" t="s">
        <v>279</v>
      </c>
      <c r="B4" s="4" t="s">
        <v>92</v>
      </c>
      <c r="C4" s="12"/>
      <c r="E4" s="10" t="str">
        <f>Drivers!E$4</f>
        <v>Q4'21</v>
      </c>
      <c r="F4" s="10" t="str">
        <f>Drivers!F$4</f>
        <v>Q1'22</v>
      </c>
      <c r="G4" s="10" t="str">
        <f>Drivers!G$4</f>
        <v>Q2'22</v>
      </c>
      <c r="H4" s="10" t="str">
        <f>Drivers!H$4</f>
        <v>Q3'22</v>
      </c>
      <c r="I4" s="10" t="str">
        <f>Drivers!I$4</f>
        <v>Q4'22</v>
      </c>
      <c r="J4" s="10" t="str">
        <f>Drivers!J$4</f>
        <v>Q1'23</v>
      </c>
      <c r="K4" s="10" t="str">
        <f>Drivers!K$4</f>
        <v>Q2'23</v>
      </c>
      <c r="L4" s="10" t="str">
        <f>Drivers!L$4</f>
        <v>Q3'23</v>
      </c>
      <c r="M4" s="10" t="str">
        <f>Drivers!M$4</f>
        <v>Q4'23</v>
      </c>
      <c r="N4" s="10" t="str">
        <f>Drivers!N$4</f>
        <v>Q1'24</v>
      </c>
      <c r="O4" s="10" t="str">
        <f>Drivers!O$4</f>
        <v>Q2'24</v>
      </c>
      <c r="P4" s="10" t="str">
        <f>Drivers!P$4</f>
        <v>Q3'24</v>
      </c>
      <c r="Q4" s="10" t="str">
        <f>Drivers!Q$4</f>
        <v>Q4'24</v>
      </c>
      <c r="R4" s="10" t="str">
        <f>Drivers!R$4</f>
        <v>Q1'25</v>
      </c>
      <c r="S4" s="10" t="str">
        <f>Drivers!S$4</f>
        <v>Q2'25</v>
      </c>
      <c r="T4" s="10" t="str">
        <f>Drivers!T$4</f>
        <v>Q3'25</v>
      </c>
      <c r="U4" s="10" t="str">
        <f>Drivers!U$4</f>
        <v>Q4'25</v>
      </c>
      <c r="V4" s="10" t="str">
        <f>Drivers!V$4</f>
        <v>Q1'26</v>
      </c>
      <c r="W4" s="10" t="str">
        <f>Drivers!W$4</f>
        <v>Q2'26</v>
      </c>
      <c r="X4" s="11" t="str">
        <f>Drivers!X$4</f>
        <v>Q3'26</v>
      </c>
      <c r="Y4" s="11" t="str">
        <f>Drivers!Y$4</f>
        <v>Q4'26</v>
      </c>
      <c r="Z4" s="11" t="str">
        <f>Drivers!Z$4</f>
        <v>Q1'27</v>
      </c>
      <c r="AA4" s="11" t="str">
        <f>Drivers!AA$4</f>
        <v>Q2'27</v>
      </c>
      <c r="AB4" s="11" t="str">
        <f>Drivers!AB$4</f>
        <v>Q3'27</v>
      </c>
      <c r="AC4" s="11" t="str">
        <f>Drivers!AC$4</f>
        <v>Q4'27</v>
      </c>
      <c r="AD4" s="11" t="str">
        <f>Drivers!AD$4</f>
        <v>Q1'28</v>
      </c>
      <c r="AE4" s="11" t="str">
        <f>Drivers!AE$4</f>
        <v>Q2'28</v>
      </c>
      <c r="AF4" s="11" t="str">
        <f>Drivers!AF$4</f>
        <v>Q3'28</v>
      </c>
      <c r="AG4" s="11" t="str">
        <f>Drivers!AG$4</f>
        <v>Q4'28</v>
      </c>
      <c r="AH4" s="11" t="str">
        <f>Drivers!AH$4</f>
        <v>Q1'29</v>
      </c>
      <c r="AI4" s="11" t="str">
        <f>Drivers!AI$4</f>
        <v>Q2'29</v>
      </c>
      <c r="AJ4" s="11" t="str">
        <f>Drivers!AJ$4</f>
        <v>Q3'29</v>
      </c>
      <c r="AK4" s="11" t="str">
        <f>Drivers!AK$4</f>
        <v>Q4'29</v>
      </c>
    </row>
    <row r="5" spans="1:37" x14ac:dyDescent="0.45">
      <c r="A5" s="12" t="s">
        <v>280</v>
      </c>
      <c r="B5" s="3" t="s">
        <v>281</v>
      </c>
      <c r="C5" s="12"/>
      <c r="E5" s="45" t="str">
        <f>Drivers!E$5</f>
        <v>A</v>
      </c>
      <c r="F5" s="45" t="str">
        <f>Drivers!F$5</f>
        <v>A</v>
      </c>
      <c r="G5" s="45" t="str">
        <f>Drivers!G$5</f>
        <v>A</v>
      </c>
      <c r="H5" s="45" t="str">
        <f>Drivers!H$5</f>
        <v>A</v>
      </c>
      <c r="I5" s="45" t="str">
        <f>Drivers!I$5</f>
        <v>A</v>
      </c>
      <c r="J5" s="45" t="str">
        <f>Drivers!J$5</f>
        <v>A</v>
      </c>
      <c r="K5" s="45" t="str">
        <f>Drivers!K$5</f>
        <v>A</v>
      </c>
      <c r="L5" s="45" t="str">
        <f>Drivers!L$5</f>
        <v>A</v>
      </c>
      <c r="M5" s="45" t="str">
        <f>Drivers!M$5</f>
        <v>A</v>
      </c>
      <c r="N5" s="45" t="str">
        <f>Drivers!N$5</f>
        <v>A</v>
      </c>
      <c r="O5" s="45" t="str">
        <f>Drivers!O$5</f>
        <v>A</v>
      </c>
      <c r="P5" s="45" t="str">
        <f>Drivers!P$5</f>
        <v>A</v>
      </c>
      <c r="Q5" s="45" t="str">
        <f>Drivers!Q$5</f>
        <v>A</v>
      </c>
      <c r="R5" s="45" t="str">
        <f>Drivers!R$5</f>
        <v>A</v>
      </c>
      <c r="S5" s="45" t="str">
        <f>Drivers!S$5</f>
        <v>A</v>
      </c>
      <c r="T5" s="45" t="str">
        <f>Drivers!T$5</f>
        <v>A</v>
      </c>
      <c r="U5" s="45" t="str">
        <f>Drivers!U$5</f>
        <v>A</v>
      </c>
      <c r="V5" s="45" t="str">
        <f>Drivers!V$5</f>
        <v>A</v>
      </c>
      <c r="W5" s="45" t="str">
        <f>Drivers!W$5</f>
        <v>A</v>
      </c>
      <c r="X5" s="46" t="str">
        <f>Drivers!X$5</f>
        <v>F</v>
      </c>
      <c r="Y5" s="46" t="str">
        <f>Drivers!Y$5</f>
        <v>F</v>
      </c>
      <c r="Z5" s="46" t="str">
        <f>Drivers!Z$5</f>
        <v>F</v>
      </c>
      <c r="AA5" s="46" t="str">
        <f>Drivers!AA$5</f>
        <v>F</v>
      </c>
      <c r="AB5" s="46" t="str">
        <f>Drivers!AB$5</f>
        <v>F</v>
      </c>
      <c r="AC5" s="46" t="str">
        <f>Drivers!AC$5</f>
        <v>F</v>
      </c>
      <c r="AD5" s="46" t="str">
        <f>Drivers!AD$5</f>
        <v>F</v>
      </c>
      <c r="AE5" s="46" t="str">
        <f>Drivers!AE$5</f>
        <v>F</v>
      </c>
      <c r="AF5" s="46" t="str">
        <f>Drivers!AF$5</f>
        <v>F</v>
      </c>
      <c r="AG5" s="46" t="str">
        <f>Drivers!AG$5</f>
        <v>F</v>
      </c>
      <c r="AH5" s="46" t="str">
        <f>Drivers!AH$5</f>
        <v>F</v>
      </c>
      <c r="AI5" s="46" t="str">
        <f>Drivers!AI$5</f>
        <v>F</v>
      </c>
      <c r="AJ5" s="46" t="str">
        <f>Drivers!AJ$5</f>
        <v>F</v>
      </c>
      <c r="AK5" s="46" t="str">
        <f>Drivers!AK$5</f>
        <v>F</v>
      </c>
    </row>
    <row r="6" spans="1:37" x14ac:dyDescent="0.45">
      <c r="A6" s="12" t="s">
        <v>282</v>
      </c>
      <c r="B6" s="3" t="s">
        <v>97</v>
      </c>
      <c r="C6" s="12"/>
      <c r="E6" s="20">
        <f>Drivers!E$6</f>
        <v>2021</v>
      </c>
      <c r="F6" s="20">
        <f>Drivers!F$6</f>
        <v>2022</v>
      </c>
      <c r="G6" s="20">
        <f>Drivers!G$6</f>
        <v>2022</v>
      </c>
      <c r="H6" s="20">
        <f>Drivers!H$6</f>
        <v>2022</v>
      </c>
      <c r="I6" s="20">
        <f>Drivers!I$6</f>
        <v>2022</v>
      </c>
      <c r="J6" s="20">
        <f>Drivers!J$6</f>
        <v>2023</v>
      </c>
      <c r="K6" s="20">
        <f>Drivers!K$6</f>
        <v>2023</v>
      </c>
      <c r="L6" s="20">
        <f>Drivers!L$6</f>
        <v>2023</v>
      </c>
      <c r="M6" s="20">
        <f>Drivers!M$6</f>
        <v>2023</v>
      </c>
      <c r="N6" s="20">
        <f>Drivers!N$6</f>
        <v>2024</v>
      </c>
      <c r="O6" s="20">
        <f>Drivers!O$6</f>
        <v>2024</v>
      </c>
      <c r="P6" s="20">
        <f>Drivers!P$6</f>
        <v>2024</v>
      </c>
      <c r="Q6" s="20">
        <f>Drivers!Q$6</f>
        <v>2024</v>
      </c>
      <c r="R6" s="20">
        <f>Drivers!R$6</f>
        <v>2025</v>
      </c>
      <c r="S6" s="20">
        <f>Drivers!S$6</f>
        <v>2025</v>
      </c>
      <c r="T6" s="20">
        <f>Drivers!T$6</f>
        <v>2025</v>
      </c>
      <c r="U6" s="20">
        <f>Drivers!U$6</f>
        <v>2025</v>
      </c>
      <c r="V6" s="20">
        <f>Drivers!V$6</f>
        <v>2026</v>
      </c>
      <c r="W6" s="20">
        <f>Drivers!W$6</f>
        <v>2026</v>
      </c>
      <c r="X6" s="20">
        <f>Drivers!X$6</f>
        <v>2026</v>
      </c>
      <c r="Y6" s="20">
        <f>Drivers!Y$6</f>
        <v>2026</v>
      </c>
      <c r="Z6" s="20">
        <f>Drivers!Z$6</f>
        <v>2027</v>
      </c>
      <c r="AA6" s="20">
        <f>Drivers!AA$6</f>
        <v>2027</v>
      </c>
      <c r="AB6" s="20">
        <f>Drivers!AB$6</f>
        <v>2027</v>
      </c>
      <c r="AC6" s="20">
        <f>Drivers!AC$6</f>
        <v>2027</v>
      </c>
      <c r="AD6" s="20">
        <f>Drivers!AD$6</f>
        <v>2028</v>
      </c>
      <c r="AE6" s="20">
        <f>Drivers!AE$6</f>
        <v>2028</v>
      </c>
      <c r="AF6" s="20">
        <f>Drivers!AF$6</f>
        <v>2028</v>
      </c>
      <c r="AG6" s="20">
        <f>Drivers!AG$6</f>
        <v>2028</v>
      </c>
      <c r="AH6" s="20">
        <f>Drivers!AH$6</f>
        <v>2029</v>
      </c>
      <c r="AI6" s="20">
        <f>Drivers!AI$6</f>
        <v>2029</v>
      </c>
      <c r="AJ6" s="20">
        <f>Drivers!AJ$6</f>
        <v>2029</v>
      </c>
      <c r="AK6" s="20">
        <f>Drivers!AK$6</f>
        <v>2029</v>
      </c>
    </row>
    <row r="7" spans="1:37" x14ac:dyDescent="0.45">
      <c r="A7" s="12" t="s">
        <v>283</v>
      </c>
      <c r="B7" s="3" t="s">
        <v>284</v>
      </c>
      <c r="C7" s="12"/>
      <c r="E7" s="20">
        <f>Drivers!E$7</f>
        <v>4</v>
      </c>
      <c r="F7" s="20">
        <f>Drivers!F$7</f>
        <v>1</v>
      </c>
      <c r="G7" s="20">
        <f>Drivers!G$7</f>
        <v>2</v>
      </c>
      <c r="H7" s="20">
        <f>Drivers!H$7</f>
        <v>3</v>
      </c>
      <c r="I7" s="20">
        <f>Drivers!I$7</f>
        <v>4</v>
      </c>
      <c r="J7" s="20">
        <f>Drivers!J$7</f>
        <v>1</v>
      </c>
      <c r="K7" s="20">
        <f>Drivers!K$7</f>
        <v>2</v>
      </c>
      <c r="L7" s="20">
        <f>Drivers!L$7</f>
        <v>3</v>
      </c>
      <c r="M7" s="20">
        <f>Drivers!M$7</f>
        <v>4</v>
      </c>
      <c r="N7" s="20">
        <f>Drivers!N$7</f>
        <v>1</v>
      </c>
      <c r="O7" s="20">
        <f>Drivers!O$7</f>
        <v>2</v>
      </c>
      <c r="P7" s="20">
        <f>Drivers!P$7</f>
        <v>3</v>
      </c>
      <c r="Q7" s="20">
        <f>Drivers!Q$7</f>
        <v>4</v>
      </c>
      <c r="R7" s="20">
        <f>Drivers!R$7</f>
        <v>1</v>
      </c>
      <c r="S7" s="20">
        <f>Drivers!S$7</f>
        <v>2</v>
      </c>
      <c r="T7" s="20">
        <f>Drivers!T$7</f>
        <v>3</v>
      </c>
      <c r="U7" s="20">
        <f>Drivers!U$7</f>
        <v>4</v>
      </c>
      <c r="V7" s="20">
        <f>Drivers!V$7</f>
        <v>1</v>
      </c>
      <c r="W7" s="20">
        <f>Drivers!W$7</f>
        <v>2</v>
      </c>
      <c r="X7" s="20">
        <f>Drivers!X$7</f>
        <v>3</v>
      </c>
      <c r="Y7" s="20">
        <f>Drivers!Y$7</f>
        <v>4</v>
      </c>
      <c r="Z7" s="20">
        <f>Drivers!Z$7</f>
        <v>1</v>
      </c>
      <c r="AA7" s="20">
        <f>Drivers!AA$7</f>
        <v>2</v>
      </c>
      <c r="AB7" s="20">
        <f>Drivers!AB$7</f>
        <v>3</v>
      </c>
      <c r="AC7" s="20">
        <f>Drivers!AC$7</f>
        <v>4</v>
      </c>
      <c r="AD7" s="20">
        <f>Drivers!AD$7</f>
        <v>1</v>
      </c>
      <c r="AE7" s="20">
        <f>Drivers!AE$7</f>
        <v>2</v>
      </c>
      <c r="AF7" s="20">
        <f>Drivers!AF$7</f>
        <v>3</v>
      </c>
      <c r="AG7" s="20">
        <f>Drivers!AG$7</f>
        <v>4</v>
      </c>
      <c r="AH7" s="20">
        <f>Drivers!AH$7</f>
        <v>1</v>
      </c>
      <c r="AI7" s="20">
        <f>Drivers!AI$7</f>
        <v>2</v>
      </c>
      <c r="AJ7" s="20">
        <f>Drivers!AJ$7</f>
        <v>3</v>
      </c>
      <c r="AK7" s="20">
        <f>Drivers!AK$7</f>
        <v>4</v>
      </c>
    </row>
    <row r="8" spans="1:37" x14ac:dyDescent="0.45">
      <c r="A8" s="12" t="s">
        <v>285</v>
      </c>
      <c r="B8" s="3" t="s">
        <v>286</v>
      </c>
      <c r="C8" s="12"/>
      <c r="E8" s="47">
        <f>Drivers!E$8</f>
        <v>44561</v>
      </c>
      <c r="F8" s="47">
        <f>Drivers!F$8</f>
        <v>44651</v>
      </c>
      <c r="G8" s="47">
        <f>Drivers!G$8</f>
        <v>44742</v>
      </c>
      <c r="H8" s="47">
        <f>Drivers!H$8</f>
        <v>44834</v>
      </c>
      <c r="I8" s="47">
        <f>Drivers!I$8</f>
        <v>44926</v>
      </c>
      <c r="J8" s="47">
        <f>Drivers!J$8</f>
        <v>45016</v>
      </c>
      <c r="K8" s="47">
        <f>Drivers!K$8</f>
        <v>45107</v>
      </c>
      <c r="L8" s="47">
        <f>Drivers!L$8</f>
        <v>45199</v>
      </c>
      <c r="M8" s="47">
        <f>Drivers!M$8</f>
        <v>45291</v>
      </c>
      <c r="N8" s="47">
        <f>Drivers!N$8</f>
        <v>45382</v>
      </c>
      <c r="O8" s="47">
        <f>Drivers!O$8</f>
        <v>45473</v>
      </c>
      <c r="P8" s="47">
        <f>Drivers!P$8</f>
        <v>45565</v>
      </c>
      <c r="Q8" s="47">
        <f>Drivers!Q$8</f>
        <v>45657</v>
      </c>
      <c r="R8" s="47">
        <f>Drivers!R$8</f>
        <v>45747</v>
      </c>
      <c r="S8" s="47">
        <f>Drivers!S$8</f>
        <v>45838</v>
      </c>
      <c r="T8" s="47">
        <f>Drivers!T$8</f>
        <v>45930</v>
      </c>
      <c r="U8" s="47">
        <f>Drivers!U$8</f>
        <v>46022</v>
      </c>
      <c r="V8" s="47">
        <f>Drivers!V$8</f>
        <v>46112</v>
      </c>
      <c r="W8" s="47">
        <f>Drivers!W$8</f>
        <v>46203</v>
      </c>
      <c r="X8" s="47">
        <f>Drivers!X$8</f>
        <v>46295</v>
      </c>
      <c r="Y8" s="47">
        <f>Drivers!Y$8</f>
        <v>46387</v>
      </c>
      <c r="Z8" s="47">
        <f>Drivers!Z$8</f>
        <v>46477</v>
      </c>
      <c r="AA8" s="47">
        <f>Drivers!AA$8</f>
        <v>46568</v>
      </c>
      <c r="AB8" s="47">
        <f>Drivers!AB$8</f>
        <v>46660</v>
      </c>
      <c r="AC8" s="47">
        <f>Drivers!AC$8</f>
        <v>46752</v>
      </c>
      <c r="AD8" s="47">
        <f>Drivers!AD$8</f>
        <v>46843</v>
      </c>
      <c r="AE8" s="47">
        <f>Drivers!AE$8</f>
        <v>46934</v>
      </c>
      <c r="AF8" s="47">
        <f>Drivers!AF$8</f>
        <v>47026</v>
      </c>
      <c r="AG8" s="47">
        <f>Drivers!AG$8</f>
        <v>47118</v>
      </c>
      <c r="AH8" s="47">
        <f>Drivers!AH$8</f>
        <v>47208</v>
      </c>
      <c r="AI8" s="47">
        <f>Drivers!AI$8</f>
        <v>47299</v>
      </c>
      <c r="AJ8" s="47">
        <f>Drivers!AJ$8</f>
        <v>47391</v>
      </c>
      <c r="AK8" s="47">
        <f>Drivers!AK$8</f>
        <v>47483</v>
      </c>
    </row>
    <row r="9" spans="1:37" x14ac:dyDescent="0.45">
      <c r="A9" s="21"/>
      <c r="B9" s="22" t="s">
        <v>336</v>
      </c>
      <c r="C9" s="21"/>
      <c r="D9" s="21"/>
      <c r="E9" s="21"/>
      <c r="F9" s="21"/>
      <c r="G9" s="21"/>
      <c r="H9" s="21"/>
      <c r="I9" s="21"/>
      <c r="J9" s="21"/>
      <c r="K9" s="21"/>
      <c r="L9" s="21"/>
      <c r="M9" s="21"/>
      <c r="N9" s="21"/>
      <c r="O9" s="21"/>
      <c r="P9" s="21"/>
      <c r="Q9" s="21"/>
      <c r="R9" s="21"/>
      <c r="S9" s="21"/>
      <c r="T9" s="21"/>
      <c r="U9" s="21"/>
      <c r="V9" s="21"/>
      <c r="W9" s="21"/>
      <c r="X9" s="21"/>
      <c r="Y9" s="21"/>
      <c r="Z9" s="21"/>
      <c r="AA9" s="21"/>
      <c r="AB9" s="21"/>
      <c r="AC9" s="21"/>
      <c r="AD9" s="21"/>
      <c r="AE9" s="21"/>
      <c r="AF9" s="21"/>
      <c r="AG9" s="21"/>
      <c r="AH9" s="21"/>
      <c r="AI9" s="21"/>
      <c r="AJ9" s="21"/>
      <c r="AK9" s="21"/>
    </row>
    <row r="10" spans="1:37" x14ac:dyDescent="0.45">
      <c r="A10" s="12" t="s">
        <v>337</v>
      </c>
      <c r="B10" s="4" t="s">
        <v>338</v>
      </c>
      <c r="C10" s="12" t="s">
        <v>65</v>
      </c>
      <c r="E10" s="48">
        <f>Hist_Q!E73</f>
        <v>57000</v>
      </c>
      <c r="F10" s="48">
        <f>Hist_Q!F73</f>
        <v>62000</v>
      </c>
      <c r="G10" s="48">
        <f>Hist_Q!G73</f>
        <v>68000</v>
      </c>
      <c r="H10" s="48">
        <f>Hist_Q!H73</f>
        <v>74000</v>
      </c>
      <c r="I10" s="48">
        <f>Hist_Q!I73</f>
        <v>79000</v>
      </c>
      <c r="J10" s="48">
        <f>Hist_Q!J73</f>
        <v>85000</v>
      </c>
      <c r="K10" s="48">
        <f>Hist_Q!K73</f>
        <v>93000</v>
      </c>
      <c r="L10" s="48">
        <f>Hist_Q!L73</f>
        <v>99000</v>
      </c>
      <c r="M10" s="48">
        <f>Hist_Q!M73</f>
        <v>106000</v>
      </c>
      <c r="N10" s="48">
        <f>Hist_Q!N73</f>
        <v>112000</v>
      </c>
      <c r="O10" s="48">
        <f>Hist_Q!O73</f>
        <v>120000</v>
      </c>
      <c r="P10" s="48">
        <f>Hist_Q!P73</f>
        <v>127000</v>
      </c>
      <c r="Q10" s="48">
        <f>Hist_Q!Q73</f>
        <v>134000</v>
      </c>
      <c r="R10" s="48">
        <f>Hist_Q!R73</f>
        <v>140000</v>
      </c>
      <c r="S10" s="48">
        <f>Hist_Q!S73</f>
        <v>148000</v>
      </c>
      <c r="T10" s="48">
        <f>Hist_Q!T73</f>
        <v>156000</v>
      </c>
      <c r="U10" s="48">
        <f>Hist_Q!U73</f>
        <v>164000</v>
      </c>
      <c r="V10" s="48">
        <f>Hist_Q!V73</f>
        <v>171000</v>
      </c>
      <c r="W10" s="48">
        <f>Hist_Q!W73</f>
        <v>180000</v>
      </c>
      <c r="X10" s="49">
        <f t="shared" ref="X10:AK10" si="0">W10+X11</f>
        <v>188152.9411764706</v>
      </c>
      <c r="Y10" s="49">
        <f t="shared" si="0"/>
        <v>196694.11764705883</v>
      </c>
      <c r="Z10" s="49">
        <f t="shared" si="0"/>
        <v>203894.11764705883</v>
      </c>
      <c r="AA10" s="49">
        <f t="shared" si="0"/>
        <v>213494.11764705883</v>
      </c>
      <c r="AB10" s="49">
        <f t="shared" si="0"/>
        <v>221894.11764705883</v>
      </c>
      <c r="AC10" s="49">
        <f t="shared" si="0"/>
        <v>230694.11764705883</v>
      </c>
      <c r="AD10" s="49">
        <f t="shared" si="0"/>
        <v>237894.11764705883</v>
      </c>
      <c r="AE10" s="49">
        <f t="shared" si="0"/>
        <v>247494.11764705883</v>
      </c>
      <c r="AF10" s="49">
        <f t="shared" si="0"/>
        <v>255894.11764705883</v>
      </c>
      <c r="AG10" s="49">
        <f t="shared" si="0"/>
        <v>264694.1176470588</v>
      </c>
      <c r="AH10" s="49">
        <f t="shared" si="0"/>
        <v>271894.1176470588</v>
      </c>
      <c r="AI10" s="49">
        <f t="shared" si="0"/>
        <v>281494.1176470588</v>
      </c>
      <c r="AJ10" s="49">
        <f t="shared" si="0"/>
        <v>289894.1176470588</v>
      </c>
      <c r="AK10" s="49">
        <f t="shared" si="0"/>
        <v>298694.1176470588</v>
      </c>
    </row>
    <row r="11" spans="1:37" x14ac:dyDescent="0.45">
      <c r="A11" s="12" t="s">
        <v>339</v>
      </c>
      <c r="B11" s="3" t="s">
        <v>66</v>
      </c>
      <c r="C11" s="12" t="s">
        <v>65</v>
      </c>
      <c r="F11" s="50">
        <f t="shared" ref="F11:W11" si="1">F10-E10</f>
        <v>5000</v>
      </c>
      <c r="G11" s="50">
        <f t="shared" si="1"/>
        <v>6000</v>
      </c>
      <c r="H11" s="50">
        <f t="shared" si="1"/>
        <v>6000</v>
      </c>
      <c r="I11" s="50">
        <f t="shared" si="1"/>
        <v>5000</v>
      </c>
      <c r="J11" s="50">
        <f t="shared" si="1"/>
        <v>6000</v>
      </c>
      <c r="K11" s="50">
        <f t="shared" si="1"/>
        <v>8000</v>
      </c>
      <c r="L11" s="50">
        <f t="shared" si="1"/>
        <v>6000</v>
      </c>
      <c r="M11" s="50">
        <f t="shared" si="1"/>
        <v>7000</v>
      </c>
      <c r="N11" s="50">
        <f t="shared" si="1"/>
        <v>6000</v>
      </c>
      <c r="O11" s="50">
        <f t="shared" si="1"/>
        <v>8000</v>
      </c>
      <c r="P11" s="50">
        <f t="shared" si="1"/>
        <v>7000</v>
      </c>
      <c r="Q11" s="50">
        <f t="shared" si="1"/>
        <v>7000</v>
      </c>
      <c r="R11" s="50">
        <f t="shared" si="1"/>
        <v>6000</v>
      </c>
      <c r="S11" s="50">
        <f t="shared" si="1"/>
        <v>8000</v>
      </c>
      <c r="T11" s="50">
        <f t="shared" si="1"/>
        <v>8000</v>
      </c>
      <c r="U11" s="50">
        <f t="shared" si="1"/>
        <v>8000</v>
      </c>
      <c r="V11" s="50">
        <f t="shared" si="1"/>
        <v>7000</v>
      </c>
      <c r="W11" s="50">
        <f t="shared" si="1"/>
        <v>9000</v>
      </c>
      <c r="X11" s="13">
        <f>Drivers!X17</f>
        <v>8152.9411764705883</v>
      </c>
      <c r="Y11" s="13">
        <f>Drivers!Y17</f>
        <v>8541.176470588236</v>
      </c>
      <c r="Z11" s="13">
        <f>Drivers!Z17</f>
        <v>7200</v>
      </c>
      <c r="AA11" s="13">
        <f>Drivers!AA17</f>
        <v>9600</v>
      </c>
      <c r="AB11" s="13">
        <f>Drivers!AB17</f>
        <v>8400</v>
      </c>
      <c r="AC11" s="13">
        <f>Drivers!AC17</f>
        <v>8800</v>
      </c>
      <c r="AD11" s="13">
        <f>Drivers!AD17</f>
        <v>7200</v>
      </c>
      <c r="AE11" s="13">
        <f>Drivers!AE17</f>
        <v>9600</v>
      </c>
      <c r="AF11" s="13">
        <f>Drivers!AF17</f>
        <v>8400</v>
      </c>
      <c r="AG11" s="13">
        <f>Drivers!AG17</f>
        <v>8800</v>
      </c>
      <c r="AH11" s="13">
        <f>Drivers!AH17</f>
        <v>7200</v>
      </c>
      <c r="AI11" s="13">
        <f>Drivers!AI17</f>
        <v>9600</v>
      </c>
      <c r="AJ11" s="13">
        <f>Drivers!AJ17</f>
        <v>8400</v>
      </c>
      <c r="AK11" s="13">
        <f>Drivers!AK17</f>
        <v>8800</v>
      </c>
    </row>
    <row r="12" spans="1:37" x14ac:dyDescent="0.45">
      <c r="A12" s="12" t="s">
        <v>340</v>
      </c>
      <c r="B12" s="3" t="s">
        <v>341</v>
      </c>
      <c r="C12" s="12" t="s">
        <v>65</v>
      </c>
      <c r="F12" s="50">
        <f t="shared" ref="F12:AK12" si="2">AVERAGE(E10,F10)</f>
        <v>59500</v>
      </c>
      <c r="G12" s="50">
        <f t="shared" si="2"/>
        <v>65000</v>
      </c>
      <c r="H12" s="50">
        <f t="shared" si="2"/>
        <v>71000</v>
      </c>
      <c r="I12" s="50">
        <f t="shared" si="2"/>
        <v>76500</v>
      </c>
      <c r="J12" s="50">
        <f t="shared" si="2"/>
        <v>82000</v>
      </c>
      <c r="K12" s="50">
        <f t="shared" si="2"/>
        <v>89000</v>
      </c>
      <c r="L12" s="50">
        <f t="shared" si="2"/>
        <v>96000</v>
      </c>
      <c r="M12" s="50">
        <f t="shared" si="2"/>
        <v>102500</v>
      </c>
      <c r="N12" s="50">
        <f t="shared" si="2"/>
        <v>109000</v>
      </c>
      <c r="O12" s="50">
        <f t="shared" si="2"/>
        <v>116000</v>
      </c>
      <c r="P12" s="50">
        <f t="shared" si="2"/>
        <v>123500</v>
      </c>
      <c r="Q12" s="50">
        <f t="shared" si="2"/>
        <v>130500</v>
      </c>
      <c r="R12" s="50">
        <f t="shared" si="2"/>
        <v>137000</v>
      </c>
      <c r="S12" s="50">
        <f t="shared" si="2"/>
        <v>144000</v>
      </c>
      <c r="T12" s="50">
        <f t="shared" si="2"/>
        <v>152000</v>
      </c>
      <c r="U12" s="50">
        <f t="shared" si="2"/>
        <v>160000</v>
      </c>
      <c r="V12" s="50">
        <f t="shared" si="2"/>
        <v>167500</v>
      </c>
      <c r="W12" s="50">
        <f t="shared" si="2"/>
        <v>175500</v>
      </c>
      <c r="X12" s="50">
        <f t="shared" si="2"/>
        <v>184076.4705882353</v>
      </c>
      <c r="Y12" s="50">
        <f t="shared" si="2"/>
        <v>192423.5294117647</v>
      </c>
      <c r="Z12" s="50">
        <f t="shared" si="2"/>
        <v>200294.11764705883</v>
      </c>
      <c r="AA12" s="50">
        <f t="shared" si="2"/>
        <v>208694.11764705883</v>
      </c>
      <c r="AB12" s="50">
        <f t="shared" si="2"/>
        <v>217694.11764705883</v>
      </c>
      <c r="AC12" s="50">
        <f t="shared" si="2"/>
        <v>226294.11764705883</v>
      </c>
      <c r="AD12" s="50">
        <f t="shared" si="2"/>
        <v>234294.11764705883</v>
      </c>
      <c r="AE12" s="50">
        <f t="shared" si="2"/>
        <v>242694.11764705883</v>
      </c>
      <c r="AF12" s="50">
        <f t="shared" si="2"/>
        <v>251694.11764705883</v>
      </c>
      <c r="AG12" s="50">
        <f t="shared" si="2"/>
        <v>260294.1176470588</v>
      </c>
      <c r="AH12" s="50">
        <f t="shared" si="2"/>
        <v>268294.1176470588</v>
      </c>
      <c r="AI12" s="50">
        <f t="shared" si="2"/>
        <v>276694.1176470588</v>
      </c>
      <c r="AJ12" s="50">
        <f t="shared" si="2"/>
        <v>285694.1176470588</v>
      </c>
      <c r="AK12" s="50">
        <f t="shared" si="2"/>
        <v>294294.1176470588</v>
      </c>
    </row>
    <row r="13" spans="1:37" x14ac:dyDescent="0.45">
      <c r="A13" s="12" t="s">
        <v>342</v>
      </c>
      <c r="B13" s="3" t="s">
        <v>343</v>
      </c>
      <c r="C13" s="12" t="s">
        <v>73</v>
      </c>
      <c r="I13" s="51">
        <f t="shared" ref="I13:AK13" si="3">I10/E10-1</f>
        <v>0.38596491228070184</v>
      </c>
      <c r="J13" s="51">
        <f t="shared" si="3"/>
        <v>0.37096774193548376</v>
      </c>
      <c r="K13" s="51">
        <f t="shared" si="3"/>
        <v>0.36764705882352944</v>
      </c>
      <c r="L13" s="51">
        <f t="shared" si="3"/>
        <v>0.33783783783783794</v>
      </c>
      <c r="M13" s="51">
        <f t="shared" si="3"/>
        <v>0.34177215189873422</v>
      </c>
      <c r="N13" s="51">
        <f t="shared" si="3"/>
        <v>0.31764705882352939</v>
      </c>
      <c r="O13" s="51">
        <f t="shared" si="3"/>
        <v>0.29032258064516125</v>
      </c>
      <c r="P13" s="51">
        <f t="shared" si="3"/>
        <v>0.28282828282828287</v>
      </c>
      <c r="Q13" s="51">
        <f t="shared" si="3"/>
        <v>0.26415094339622636</v>
      </c>
      <c r="R13" s="51">
        <f t="shared" si="3"/>
        <v>0.25</v>
      </c>
      <c r="S13" s="51">
        <f t="shared" si="3"/>
        <v>0.23333333333333339</v>
      </c>
      <c r="T13" s="51">
        <f t="shared" si="3"/>
        <v>0.22834645669291342</v>
      </c>
      <c r="U13" s="51">
        <f t="shared" si="3"/>
        <v>0.22388059701492535</v>
      </c>
      <c r="V13" s="51">
        <f t="shared" si="3"/>
        <v>0.22142857142857153</v>
      </c>
      <c r="W13" s="51">
        <f t="shared" si="3"/>
        <v>0.21621621621621623</v>
      </c>
      <c r="X13" s="51">
        <f t="shared" si="3"/>
        <v>0.20610859728506803</v>
      </c>
      <c r="Y13" s="51">
        <f t="shared" si="3"/>
        <v>0.19935437589670024</v>
      </c>
      <c r="Z13" s="51">
        <f t="shared" si="3"/>
        <v>0.19236326109391122</v>
      </c>
      <c r="AA13" s="51">
        <f t="shared" si="3"/>
        <v>0.18607843137254898</v>
      </c>
      <c r="AB13" s="51">
        <f t="shared" si="3"/>
        <v>0.17932845619958715</v>
      </c>
      <c r="AC13" s="51">
        <f t="shared" si="3"/>
        <v>0.17285722830312822</v>
      </c>
      <c r="AD13" s="51">
        <f t="shared" si="3"/>
        <v>0.16675321677918187</v>
      </c>
      <c r="AE13" s="51">
        <f t="shared" si="3"/>
        <v>0.15925497327381932</v>
      </c>
      <c r="AF13" s="51">
        <f t="shared" si="3"/>
        <v>0.15322623402788826</v>
      </c>
      <c r="AG13" s="51">
        <f t="shared" si="3"/>
        <v>0.14738130450303411</v>
      </c>
      <c r="AH13" s="51">
        <f t="shared" si="3"/>
        <v>0.1429207259779437</v>
      </c>
      <c r="AI13" s="51">
        <f t="shared" si="3"/>
        <v>0.13737700242429995</v>
      </c>
      <c r="AJ13" s="51">
        <f t="shared" si="3"/>
        <v>0.13286745436991398</v>
      </c>
      <c r="AK13" s="51">
        <f t="shared" si="3"/>
        <v>0.12845015334014853</v>
      </c>
    </row>
    <row r="14" spans="1:37" x14ac:dyDescent="0.45">
      <c r="A14" s="21"/>
      <c r="B14" s="22" t="s">
        <v>344</v>
      </c>
      <c r="C14" s="21"/>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row>
    <row r="15" spans="1:37" x14ac:dyDescent="0.45">
      <c r="A15" s="12" t="s">
        <v>345</v>
      </c>
      <c r="B15" s="3" t="s">
        <v>346</v>
      </c>
      <c r="C15" s="12" t="s">
        <v>347</v>
      </c>
      <c r="F15" s="50">
        <f t="shared" ref="F15:W15" si="4">F17*Mn/F12/MonthsPerQuarter</f>
        <v>352.94117647058823</v>
      </c>
      <c r="G15" s="50">
        <f t="shared" si="4"/>
        <v>389.74358974358978</v>
      </c>
      <c r="H15" s="50">
        <f t="shared" si="4"/>
        <v>422.53521126760569</v>
      </c>
      <c r="I15" s="50">
        <f t="shared" si="4"/>
        <v>409.58605664488022</v>
      </c>
      <c r="J15" s="50">
        <f t="shared" si="4"/>
        <v>434.95934959349597</v>
      </c>
      <c r="K15" s="50">
        <f t="shared" si="4"/>
        <v>453.18352059925093</v>
      </c>
      <c r="L15" s="50">
        <f t="shared" si="4"/>
        <v>454.86111111111109</v>
      </c>
      <c r="M15" s="50">
        <f t="shared" si="4"/>
        <v>461.78861788617883</v>
      </c>
      <c r="N15" s="50">
        <f t="shared" si="4"/>
        <v>461.77370030581045</v>
      </c>
      <c r="O15" s="50">
        <f t="shared" si="4"/>
        <v>477.01149425287355</v>
      </c>
      <c r="P15" s="50">
        <f t="shared" si="4"/>
        <v>510.12145748987854</v>
      </c>
      <c r="Q15" s="50">
        <f t="shared" si="4"/>
        <v>510.8556832694764</v>
      </c>
      <c r="R15" s="50">
        <f t="shared" si="4"/>
        <v>508.51581508515818</v>
      </c>
      <c r="S15" s="50">
        <f t="shared" si="4"/>
        <v>525.46296296296293</v>
      </c>
      <c r="T15" s="50">
        <f t="shared" si="4"/>
        <v>535.08771929824559</v>
      </c>
      <c r="U15" s="50">
        <f t="shared" si="4"/>
        <v>533.33333333333337</v>
      </c>
      <c r="V15" s="50">
        <f t="shared" si="4"/>
        <v>533.33333333333337</v>
      </c>
      <c r="W15" s="50">
        <f t="shared" si="4"/>
        <v>550.80721747388418</v>
      </c>
      <c r="X15" s="50">
        <f t="shared" ref="X15:AK15" si="5">T15*(1+X16)</f>
        <v>559.16666666666663</v>
      </c>
      <c r="Y15" s="50">
        <f t="shared" si="5"/>
        <v>557.33333333333337</v>
      </c>
      <c r="Z15" s="50">
        <f t="shared" si="5"/>
        <v>554.66666666666674</v>
      </c>
      <c r="AA15" s="50">
        <f t="shared" si="5"/>
        <v>572.83950617283961</v>
      </c>
      <c r="AB15" s="50">
        <f t="shared" si="5"/>
        <v>581.5333333333333</v>
      </c>
      <c r="AC15" s="50">
        <f t="shared" si="5"/>
        <v>579.62666666666678</v>
      </c>
      <c r="AD15" s="50">
        <f t="shared" si="5"/>
        <v>574.08000000000004</v>
      </c>
      <c r="AE15" s="50">
        <f t="shared" si="5"/>
        <v>592.88888888888891</v>
      </c>
      <c r="AF15" s="50">
        <f t="shared" si="5"/>
        <v>601.88699999999994</v>
      </c>
      <c r="AG15" s="50">
        <f t="shared" si="5"/>
        <v>599.91360000000009</v>
      </c>
      <c r="AH15" s="50">
        <f t="shared" si="5"/>
        <v>591.30240000000003</v>
      </c>
      <c r="AI15" s="50">
        <f t="shared" si="5"/>
        <v>610.67555555555555</v>
      </c>
      <c r="AJ15" s="50">
        <f t="shared" si="5"/>
        <v>619.94360999999992</v>
      </c>
      <c r="AK15" s="50">
        <f t="shared" si="5"/>
        <v>617.91100800000015</v>
      </c>
    </row>
    <row r="16" spans="1:37" x14ac:dyDescent="0.45">
      <c r="A16" s="12" t="s">
        <v>348</v>
      </c>
      <c r="B16" s="3" t="s">
        <v>349</v>
      </c>
      <c r="C16" s="12" t="s">
        <v>73</v>
      </c>
      <c r="J16" s="51">
        <f t="shared" ref="J16:W16" si="6">J15/F15-1</f>
        <v>0.23238482384823866</v>
      </c>
      <c r="K16" s="51">
        <f t="shared" si="6"/>
        <v>0.16277350680070946</v>
      </c>
      <c r="L16" s="51">
        <f t="shared" si="6"/>
        <v>7.650462962962945E-2</v>
      </c>
      <c r="M16" s="51">
        <f t="shared" si="6"/>
        <v>0.12745199792423434</v>
      </c>
      <c r="N16" s="51">
        <f t="shared" si="6"/>
        <v>6.1647946497470629E-2</v>
      </c>
      <c r="O16" s="51">
        <f t="shared" si="6"/>
        <v>5.2579082359646589E-2</v>
      </c>
      <c r="P16" s="51">
        <f t="shared" si="6"/>
        <v>0.12148839509225207</v>
      </c>
      <c r="Q16" s="51">
        <f t="shared" si="6"/>
        <v>0.10625438454481695</v>
      </c>
      <c r="R16" s="51">
        <f t="shared" si="6"/>
        <v>0.10122299028375292</v>
      </c>
      <c r="S16" s="51">
        <f t="shared" si="6"/>
        <v>0.10157295850066927</v>
      </c>
      <c r="T16" s="51">
        <f t="shared" si="6"/>
        <v>4.8941798941798842E-2</v>
      </c>
      <c r="U16" s="51">
        <f t="shared" si="6"/>
        <v>4.4000000000000039E-2</v>
      </c>
      <c r="V16" s="51">
        <f t="shared" si="6"/>
        <v>4.8803827751196183E-2</v>
      </c>
      <c r="W16" s="51">
        <f t="shared" si="6"/>
        <v>4.8232237659550536E-2</v>
      </c>
      <c r="X16" s="15">
        <f>Drivers!X20</f>
        <v>4.4999999999999998E-2</v>
      </c>
      <c r="Y16" s="15">
        <f>Drivers!Y20</f>
        <v>4.4999999999999998E-2</v>
      </c>
      <c r="Z16" s="15">
        <f>Drivers!Z20</f>
        <v>0.04</v>
      </c>
      <c r="AA16" s="15">
        <f>Drivers!AA20</f>
        <v>0.04</v>
      </c>
      <c r="AB16" s="15">
        <f>Drivers!AB20</f>
        <v>0.04</v>
      </c>
      <c r="AC16" s="15">
        <f>Drivers!AC20</f>
        <v>0.04</v>
      </c>
      <c r="AD16" s="15">
        <f>Drivers!AD20</f>
        <v>3.5000000000000003E-2</v>
      </c>
      <c r="AE16" s="15">
        <f>Drivers!AE20</f>
        <v>3.5000000000000003E-2</v>
      </c>
      <c r="AF16" s="15">
        <f>Drivers!AF20</f>
        <v>3.5000000000000003E-2</v>
      </c>
      <c r="AG16" s="15">
        <f>Drivers!AG20</f>
        <v>3.5000000000000003E-2</v>
      </c>
      <c r="AH16" s="15">
        <f>Drivers!AH20</f>
        <v>0.03</v>
      </c>
      <c r="AI16" s="15">
        <f>Drivers!AI20</f>
        <v>0.03</v>
      </c>
      <c r="AJ16" s="15">
        <f>Drivers!AJ20</f>
        <v>0.03</v>
      </c>
      <c r="AK16" s="15">
        <f>Drivers!AK20</f>
        <v>0.03</v>
      </c>
    </row>
    <row r="17" spans="1:37" x14ac:dyDescent="0.45">
      <c r="A17" s="12" t="s">
        <v>350</v>
      </c>
      <c r="B17" s="4" t="s">
        <v>351</v>
      </c>
      <c r="C17" s="12" t="s">
        <v>70</v>
      </c>
      <c r="E17" s="48">
        <f>Hist_Q!E17</f>
        <v>54</v>
      </c>
      <c r="F17" s="48">
        <f>Hist_Q!F17</f>
        <v>63</v>
      </c>
      <c r="G17" s="48">
        <f>Hist_Q!G17</f>
        <v>76</v>
      </c>
      <c r="H17" s="48">
        <f>Hist_Q!H17</f>
        <v>90</v>
      </c>
      <c r="I17" s="48">
        <f>Hist_Q!I17</f>
        <v>94</v>
      </c>
      <c r="J17" s="48">
        <f>Hist_Q!J17</f>
        <v>107</v>
      </c>
      <c r="K17" s="48">
        <f>Hist_Q!K17</f>
        <v>121</v>
      </c>
      <c r="L17" s="48">
        <f>Hist_Q!L17</f>
        <v>131</v>
      </c>
      <c r="M17" s="48">
        <f>Hist_Q!M17</f>
        <v>142</v>
      </c>
      <c r="N17" s="48">
        <f>Hist_Q!N17</f>
        <v>151</v>
      </c>
      <c r="O17" s="48">
        <f>Hist_Q!O17</f>
        <v>166</v>
      </c>
      <c r="P17" s="48">
        <f>Hist_Q!P17</f>
        <v>189</v>
      </c>
      <c r="Q17" s="48">
        <f>Hist_Q!Q17</f>
        <v>200</v>
      </c>
      <c r="R17" s="48">
        <f>Hist_Q!R17</f>
        <v>209</v>
      </c>
      <c r="S17" s="48">
        <f>Hist_Q!S17</f>
        <v>227</v>
      </c>
      <c r="T17" s="48">
        <f>Hist_Q!T17</f>
        <v>244</v>
      </c>
      <c r="U17" s="48">
        <f>Hist_Q!U17</f>
        <v>256</v>
      </c>
      <c r="V17" s="48">
        <f>Hist_Q!V17</f>
        <v>268</v>
      </c>
      <c r="W17" s="48">
        <f>Hist_Q!W17</f>
        <v>290</v>
      </c>
      <c r="X17" s="49">
        <f t="shared" ref="X17:AK17" si="7">X12*X15*MonthsPerQuarter/Mn</f>
        <v>308.78827941176473</v>
      </c>
      <c r="Y17" s="49">
        <f t="shared" si="7"/>
        <v>321.73214117647058</v>
      </c>
      <c r="Z17" s="49">
        <f t="shared" si="7"/>
        <v>333.2894117647059</v>
      </c>
      <c r="AA17" s="49">
        <f t="shared" si="7"/>
        <v>358.64470588235298</v>
      </c>
      <c r="AB17" s="49">
        <f t="shared" si="7"/>
        <v>379.7891576470588</v>
      </c>
      <c r="AC17" s="49">
        <f t="shared" si="7"/>
        <v>393.49831529411767</v>
      </c>
      <c r="AD17" s="49">
        <f t="shared" si="7"/>
        <v>403.5107011764706</v>
      </c>
      <c r="AE17" s="49">
        <f t="shared" si="7"/>
        <v>431.67193725490199</v>
      </c>
      <c r="AF17" s="49">
        <f t="shared" si="7"/>
        <v>454.47425216470583</v>
      </c>
      <c r="AG17" s="49">
        <f t="shared" si="7"/>
        <v>468.46194352941177</v>
      </c>
      <c r="AH17" s="49">
        <f t="shared" si="7"/>
        <v>475.92886701176462</v>
      </c>
      <c r="AI17" s="49">
        <f t="shared" si="7"/>
        <v>506.91100203921559</v>
      </c>
      <c r="AJ17" s="49">
        <f t="shared" si="7"/>
        <v>531.34272794964693</v>
      </c>
      <c r="AK17" s="49">
        <f t="shared" si="7"/>
        <v>545.54272465129418</v>
      </c>
    </row>
    <row r="18" spans="1:37" x14ac:dyDescent="0.45">
      <c r="A18" s="21"/>
      <c r="B18" s="22" t="s">
        <v>352</v>
      </c>
      <c r="C18" s="21"/>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row>
    <row r="19" spans="1:37" x14ac:dyDescent="0.45">
      <c r="A19" s="12" t="s">
        <v>353</v>
      </c>
      <c r="B19" s="3" t="s">
        <v>354</v>
      </c>
      <c r="C19" s="12" t="s">
        <v>355</v>
      </c>
      <c r="F19" s="52">
        <f t="shared" ref="F19:W19" si="8">F23*Mn/F12</f>
        <v>299.15966386554624</v>
      </c>
      <c r="G19" s="52">
        <f t="shared" si="8"/>
        <v>358.46153846153845</v>
      </c>
      <c r="H19" s="52">
        <f t="shared" si="8"/>
        <v>354.92957746478874</v>
      </c>
      <c r="I19" s="52">
        <f t="shared" si="8"/>
        <v>333.33333333333331</v>
      </c>
      <c r="J19" s="52">
        <f t="shared" si="8"/>
        <v>325.60975609756099</v>
      </c>
      <c r="K19" s="52">
        <f t="shared" si="8"/>
        <v>360.67415730337081</v>
      </c>
      <c r="L19" s="52">
        <f t="shared" si="8"/>
        <v>351.04166666666669</v>
      </c>
      <c r="M19" s="52">
        <f t="shared" si="8"/>
        <v>328.78048780487802</v>
      </c>
      <c r="N19" s="52">
        <f t="shared" si="8"/>
        <v>318.348623853211</v>
      </c>
      <c r="O19" s="52">
        <f t="shared" si="8"/>
        <v>349.13793103448273</v>
      </c>
      <c r="P19" s="52">
        <f t="shared" si="8"/>
        <v>337.65182186234819</v>
      </c>
      <c r="Q19" s="52">
        <f t="shared" si="8"/>
        <v>323.37164750957857</v>
      </c>
      <c r="R19" s="52">
        <f t="shared" si="8"/>
        <v>308.02919708029196</v>
      </c>
      <c r="S19" s="52">
        <f t="shared" si="8"/>
        <v>346.52777777777777</v>
      </c>
      <c r="T19" s="52">
        <f t="shared" si="8"/>
        <v>338.81578947368422</v>
      </c>
      <c r="U19" s="52">
        <f t="shared" si="8"/>
        <v>321.25</v>
      </c>
      <c r="V19" s="52">
        <f t="shared" si="8"/>
        <v>306.26865671641792</v>
      </c>
      <c r="W19" s="52">
        <f t="shared" si="8"/>
        <v>345.86894586894584</v>
      </c>
      <c r="X19" s="52">
        <f t="shared" ref="X19:AK19" si="9">T19*(1+X20)</f>
        <v>337.12171052631578</v>
      </c>
      <c r="Y19" s="52">
        <f t="shared" si="9"/>
        <v>319.64375000000001</v>
      </c>
      <c r="Z19" s="52">
        <f t="shared" si="9"/>
        <v>304.73731343283583</v>
      </c>
      <c r="AA19" s="52">
        <f t="shared" si="9"/>
        <v>344.1396011396011</v>
      </c>
      <c r="AB19" s="52">
        <f t="shared" si="9"/>
        <v>335.43610197368417</v>
      </c>
      <c r="AC19" s="52">
        <f t="shared" si="9"/>
        <v>318.04553125000001</v>
      </c>
      <c r="AD19" s="52">
        <f t="shared" si="9"/>
        <v>304.73731343283583</v>
      </c>
      <c r="AE19" s="52">
        <f t="shared" si="9"/>
        <v>344.1396011396011</v>
      </c>
      <c r="AF19" s="52">
        <f t="shared" si="9"/>
        <v>335.43610197368417</v>
      </c>
      <c r="AG19" s="52">
        <f t="shared" si="9"/>
        <v>318.04553125000001</v>
      </c>
      <c r="AH19" s="52">
        <f t="shared" si="9"/>
        <v>304.73731343283583</v>
      </c>
      <c r="AI19" s="52">
        <f t="shared" si="9"/>
        <v>344.1396011396011</v>
      </c>
      <c r="AJ19" s="52">
        <f t="shared" si="9"/>
        <v>335.43610197368417</v>
      </c>
      <c r="AK19" s="52">
        <f t="shared" si="9"/>
        <v>318.04553125000001</v>
      </c>
    </row>
    <row r="20" spans="1:37" x14ac:dyDescent="0.45">
      <c r="A20" s="12" t="s">
        <v>356</v>
      </c>
      <c r="B20" s="3" t="s">
        <v>179</v>
      </c>
      <c r="C20" s="12" t="s">
        <v>73</v>
      </c>
      <c r="J20" s="51">
        <f t="shared" ref="J20:W20" si="10">J19/F19-1</f>
        <v>8.8414634146341431E-2</v>
      </c>
      <c r="K20" s="51">
        <f t="shared" si="10"/>
        <v>6.1725418334379611E-3</v>
      </c>
      <c r="L20" s="51">
        <f t="shared" si="10"/>
        <v>-1.0954034391534306E-2</v>
      </c>
      <c r="M20" s="51">
        <f t="shared" si="10"/>
        <v>-1.3658536585365866E-2</v>
      </c>
      <c r="N20" s="51">
        <f t="shared" si="10"/>
        <v>-2.2300106518228446E-2</v>
      </c>
      <c r="O20" s="51">
        <f t="shared" si="10"/>
        <v>-3.1985175636480956E-2</v>
      </c>
      <c r="P20" s="51">
        <f t="shared" si="10"/>
        <v>-3.8143178077583828E-2</v>
      </c>
      <c r="Q20" s="51">
        <f t="shared" si="10"/>
        <v>-1.6451220482735729E-2</v>
      </c>
      <c r="R20" s="51">
        <f t="shared" si="10"/>
        <v>-3.2415490439428707E-2</v>
      </c>
      <c r="S20" s="51">
        <f t="shared" si="10"/>
        <v>-7.475994513031492E-3</v>
      </c>
      <c r="T20" s="51">
        <f t="shared" si="10"/>
        <v>3.4472422062350461E-3</v>
      </c>
      <c r="U20" s="51">
        <f t="shared" si="10"/>
        <v>-6.5610189573460653E-3</v>
      </c>
      <c r="V20" s="51">
        <f t="shared" si="10"/>
        <v>-5.7154983376953572E-3</v>
      </c>
      <c r="W20" s="51">
        <f t="shared" si="10"/>
        <v>-1.901238374184322E-3</v>
      </c>
      <c r="X20" s="15">
        <f>Drivers!X21</f>
        <v>-5.0000000000000001E-3</v>
      </c>
      <c r="Y20" s="15">
        <f>Drivers!Y21</f>
        <v>-5.0000000000000001E-3</v>
      </c>
      <c r="Z20" s="15">
        <f>Drivers!Z21</f>
        <v>-5.0000000000000001E-3</v>
      </c>
      <c r="AA20" s="15">
        <f>Drivers!AA21</f>
        <v>-5.0000000000000001E-3</v>
      </c>
      <c r="AB20" s="15">
        <f>Drivers!AB21</f>
        <v>-5.0000000000000001E-3</v>
      </c>
      <c r="AC20" s="15">
        <f>Drivers!AC21</f>
        <v>-5.0000000000000001E-3</v>
      </c>
      <c r="AD20" s="15">
        <f>Drivers!AD21</f>
        <v>0</v>
      </c>
      <c r="AE20" s="15">
        <f>Drivers!AE21</f>
        <v>0</v>
      </c>
      <c r="AF20" s="15">
        <f>Drivers!AF21</f>
        <v>0</v>
      </c>
      <c r="AG20" s="15">
        <f>Drivers!AG21</f>
        <v>0</v>
      </c>
      <c r="AH20" s="15">
        <f>Drivers!AH21</f>
        <v>0</v>
      </c>
      <c r="AI20" s="15">
        <f>Drivers!AI21</f>
        <v>0</v>
      </c>
      <c r="AJ20" s="15">
        <f>Drivers!AJ21</f>
        <v>0</v>
      </c>
      <c r="AK20" s="15">
        <f>Drivers!AK21</f>
        <v>0</v>
      </c>
    </row>
    <row r="21" spans="1:37" x14ac:dyDescent="0.45">
      <c r="A21" s="12" t="s">
        <v>357</v>
      </c>
      <c r="B21" s="3" t="s">
        <v>358</v>
      </c>
      <c r="C21" s="12" t="s">
        <v>73</v>
      </c>
      <c r="I21" s="15">
        <f>Hist_Q!I85/Hist_Q!E85-1</f>
        <v>8.4432709314635979E-2</v>
      </c>
      <c r="J21" s="15">
        <f>Hist_Q!J85/Hist_Q!F85-1</f>
        <v>8.4663839341399427E-2</v>
      </c>
      <c r="K21" s="15">
        <f>Hist_Q!K85/Hist_Q!G85-1</f>
        <v>8.1580472191819853E-2</v>
      </c>
      <c r="L21" s="15">
        <f>Hist_Q!L85/Hist_Q!H85-1</f>
        <v>6.531701305383053E-2</v>
      </c>
      <c r="M21" s="15">
        <f>Hist_Q!M85/Hist_Q!I85-1</f>
        <v>5.3016640408746651E-2</v>
      </c>
      <c r="N21" s="15">
        <f>Hist_Q!N85/Hist_Q!J85-1</f>
        <v>4.5904608573153594E-2</v>
      </c>
      <c r="O21" s="15">
        <f>Hist_Q!O85/Hist_Q!K85-1</f>
        <v>4.0774849698546722E-2</v>
      </c>
      <c r="P21" s="15">
        <f>Hist_Q!P85/Hist_Q!L85-1</f>
        <v>4.0155105799901225E-2</v>
      </c>
      <c r="Q21" s="15">
        <f>Hist_Q!Q85/Hist_Q!M85-1</f>
        <v>3.6906985846215212E-2</v>
      </c>
      <c r="R21" s="15">
        <f>Hist_Q!R85/Hist_Q!N85-1</f>
        <v>3.6187764055228611E-2</v>
      </c>
      <c r="S21" s="15">
        <f>Hist_Q!S85/Hist_Q!O85-1</f>
        <v>3.8572782534806338E-2</v>
      </c>
      <c r="T21" s="15">
        <f>Hist_Q!T85/Hist_Q!P85-1</f>
        <v>3.8542833619025885E-2</v>
      </c>
      <c r="U21" s="15">
        <f>Hist_Q!U85/Hist_Q!Q85-1</f>
        <v>4.0136205571900119E-2</v>
      </c>
      <c r="V21" s="15">
        <f>Hist_Q!V85/Hist_Q!R85-1</f>
        <v>3.8858028130156486E-2</v>
      </c>
      <c r="W21" s="15">
        <f>Hist_Q!W85/Hist_Q!S85-1</f>
        <v>3.4869237083015481E-2</v>
      </c>
    </row>
    <row r="22" spans="1:37" x14ac:dyDescent="0.45">
      <c r="A22" s="12" t="s">
        <v>359</v>
      </c>
      <c r="B22" s="3" t="s">
        <v>360</v>
      </c>
      <c r="C22" s="12" t="s">
        <v>73</v>
      </c>
      <c r="J22" s="51">
        <f t="shared" ref="J22:W22" si="11">(1+J20)/(1+J21)-1</f>
        <v>3.4580251216076441E-3</v>
      </c>
      <c r="K22" s="51">
        <f t="shared" si="11"/>
        <v>-6.9720129289656985E-2</v>
      </c>
      <c r="L22" s="51">
        <f t="shared" si="11"/>
        <v>-7.159469576734423E-2</v>
      </c>
      <c r="M22" s="51">
        <f t="shared" si="11"/>
        <v>-6.3318255795303813E-2</v>
      </c>
      <c r="N22" s="51">
        <f t="shared" si="11"/>
        <v>-6.5211219581897129E-2</v>
      </c>
      <c r="O22" s="51">
        <f t="shared" si="11"/>
        <v>-6.9909476921067193E-2</v>
      </c>
      <c r="P22" s="51">
        <f t="shared" si="11"/>
        <v>-7.5275584805471918E-2</v>
      </c>
      <c r="Q22" s="51">
        <f t="shared" si="11"/>
        <v>-5.1459009397458733E-2</v>
      </c>
      <c r="R22" s="51">
        <f t="shared" si="11"/>
        <v>-6.6207358236089697E-2</v>
      </c>
      <c r="S22" s="51">
        <f t="shared" si="11"/>
        <v>-4.4338517070944494E-2</v>
      </c>
      <c r="T22" s="51">
        <f t="shared" si="11"/>
        <v>-3.379310922640788E-2</v>
      </c>
      <c r="U22" s="51">
        <f t="shared" si="11"/>
        <v>-4.4895297634188758E-2</v>
      </c>
      <c r="V22" s="51">
        <f t="shared" si="11"/>
        <v>-4.2906273293262132E-2</v>
      </c>
      <c r="W22" s="51">
        <f t="shared" si="11"/>
        <v>-3.5531518514208327E-2</v>
      </c>
    </row>
    <row r="23" spans="1:37" x14ac:dyDescent="0.45">
      <c r="A23" s="12" t="s">
        <v>361</v>
      </c>
      <c r="B23" s="3" t="s">
        <v>362</v>
      </c>
      <c r="C23" s="12" t="s">
        <v>68</v>
      </c>
      <c r="E23" s="14">
        <f>Hist_Q!E75</f>
        <v>17.100000000000001</v>
      </c>
      <c r="F23" s="14">
        <f>Hist_Q!F75</f>
        <v>17.8</v>
      </c>
      <c r="G23" s="14">
        <f>Hist_Q!G75</f>
        <v>23.3</v>
      </c>
      <c r="H23" s="14">
        <f>Hist_Q!H75</f>
        <v>25.2</v>
      </c>
      <c r="I23" s="14">
        <f>Hist_Q!I75</f>
        <v>25.5</v>
      </c>
      <c r="J23" s="14">
        <f>Hist_Q!J75</f>
        <v>26.7</v>
      </c>
      <c r="K23" s="14">
        <f>Hist_Q!K75</f>
        <v>32.1</v>
      </c>
      <c r="L23" s="14">
        <f>Hist_Q!L75</f>
        <v>33.700000000000003</v>
      </c>
      <c r="M23" s="14">
        <f>Hist_Q!M75</f>
        <v>33.700000000000003</v>
      </c>
      <c r="N23" s="14">
        <f>Hist_Q!N75</f>
        <v>34.700000000000003</v>
      </c>
      <c r="O23" s="14">
        <f>Hist_Q!O75</f>
        <v>40.5</v>
      </c>
      <c r="P23" s="14">
        <f>Hist_Q!P75</f>
        <v>41.7</v>
      </c>
      <c r="Q23" s="14">
        <f>Hist_Q!Q75</f>
        <v>42.2</v>
      </c>
      <c r="R23" s="14">
        <f>Hist_Q!R75</f>
        <v>42.2</v>
      </c>
      <c r="S23" s="14">
        <f>Hist_Q!S75</f>
        <v>49.9</v>
      </c>
      <c r="T23" s="14">
        <f>Hist_Q!T75</f>
        <v>51.5</v>
      </c>
      <c r="U23" s="14">
        <f>Hist_Q!U75</f>
        <v>51.4</v>
      </c>
      <c r="V23" s="14">
        <f>Hist_Q!V75</f>
        <v>51.3</v>
      </c>
      <c r="W23" s="14">
        <f>Hist_Q!W75</f>
        <v>60.7</v>
      </c>
      <c r="X23" s="52">
        <f t="shared" ref="X23:AK23" si="12">X19*X12/Mn</f>
        <v>62.056174632352942</v>
      </c>
      <c r="Y23" s="52">
        <f t="shared" si="12"/>
        <v>61.506978529411761</v>
      </c>
      <c r="Z23" s="52">
        <f t="shared" si="12"/>
        <v>61.03709130816506</v>
      </c>
      <c r="AA23" s="52">
        <f t="shared" si="12"/>
        <v>71.819910407239803</v>
      </c>
      <c r="AB23" s="52">
        <f t="shared" si="12"/>
        <v>73.022466246130023</v>
      </c>
      <c r="AC23" s="52">
        <f t="shared" si="12"/>
        <v>71.971832865808835</v>
      </c>
      <c r="AD23" s="52">
        <f t="shared" si="12"/>
        <v>71.398159964881486</v>
      </c>
      <c r="AE23" s="52">
        <f t="shared" si="12"/>
        <v>83.520656845986252</v>
      </c>
      <c r="AF23" s="52">
        <f t="shared" si="12"/>
        <v>84.427293713235287</v>
      </c>
      <c r="AG23" s="52">
        <f t="shared" si="12"/>
        <v>82.785380928308811</v>
      </c>
      <c r="AH23" s="52">
        <f t="shared" si="12"/>
        <v>81.759228621597885</v>
      </c>
      <c r="AI23" s="52">
        <f t="shared" si="12"/>
        <v>95.221403284732673</v>
      </c>
      <c r="AJ23" s="52">
        <f t="shared" si="12"/>
        <v>95.83212118034055</v>
      </c>
      <c r="AK23" s="52">
        <f t="shared" si="12"/>
        <v>93.598928990808815</v>
      </c>
    </row>
    <row r="24" spans="1:37" x14ac:dyDescent="0.45">
      <c r="A24" s="12" t="s">
        <v>363</v>
      </c>
      <c r="B24" s="3" t="s">
        <v>364</v>
      </c>
      <c r="C24" s="12" t="s">
        <v>73</v>
      </c>
      <c r="E24" s="53">
        <f t="shared" ref="E24:W24" si="13">E27/(E23*MnPerBn)</f>
        <v>2.4619883040935674E-2</v>
      </c>
      <c r="F24" s="53">
        <f t="shared" si="13"/>
        <v>2.4606741573033709E-2</v>
      </c>
      <c r="G24" s="53">
        <f t="shared" si="13"/>
        <v>2.4120171673819742E-2</v>
      </c>
      <c r="H24" s="53">
        <f t="shared" si="13"/>
        <v>2.492063492063492E-2</v>
      </c>
      <c r="I24" s="53">
        <f t="shared" si="13"/>
        <v>2.5098039215686273E-2</v>
      </c>
      <c r="J24" s="53">
        <f t="shared" si="13"/>
        <v>2.5205992509363295E-2</v>
      </c>
      <c r="K24" s="53">
        <f t="shared" si="13"/>
        <v>2.5171339563862929E-2</v>
      </c>
      <c r="L24" s="53">
        <f t="shared" si="13"/>
        <v>2.540059347181009E-2</v>
      </c>
      <c r="M24" s="53">
        <f t="shared" si="13"/>
        <v>2.5252225519287835E-2</v>
      </c>
      <c r="N24" s="53">
        <f t="shared" si="13"/>
        <v>2.5158501440922191E-2</v>
      </c>
      <c r="O24" s="53">
        <f t="shared" si="13"/>
        <v>2.5259259259259259E-2</v>
      </c>
      <c r="P24" s="53">
        <f t="shared" si="13"/>
        <v>2.5587529976019183E-2</v>
      </c>
      <c r="Q24" s="53">
        <f t="shared" si="13"/>
        <v>2.5829383886255924E-2</v>
      </c>
      <c r="R24" s="53">
        <f t="shared" si="13"/>
        <v>2.5639810426540285E-2</v>
      </c>
      <c r="S24" s="53">
        <f t="shared" si="13"/>
        <v>2.5571142284569137E-2</v>
      </c>
      <c r="T24" s="53">
        <f t="shared" si="13"/>
        <v>2.6116504854368932E-2</v>
      </c>
      <c r="U24" s="53">
        <f t="shared" si="13"/>
        <v>2.595330739299611E-2</v>
      </c>
      <c r="V24" s="53">
        <f t="shared" si="13"/>
        <v>2.5789473684210525E-2</v>
      </c>
      <c r="W24" s="53">
        <f t="shared" si="13"/>
        <v>2.586490939044481E-2</v>
      </c>
      <c r="X24" s="53">
        <f t="shared" ref="X24:AK24" si="14">T24+X26/BpsPerUnit</f>
        <v>2.6316504854368931E-2</v>
      </c>
      <c r="Y24" s="53">
        <f t="shared" si="14"/>
        <v>2.6153307392996109E-2</v>
      </c>
      <c r="Z24" s="53">
        <f t="shared" si="14"/>
        <v>2.5939473684210526E-2</v>
      </c>
      <c r="AA24" s="53">
        <f t="shared" si="14"/>
        <v>2.6014909390444811E-2</v>
      </c>
      <c r="AB24" s="53">
        <f t="shared" si="14"/>
        <v>2.6466504854368932E-2</v>
      </c>
      <c r="AC24" s="53">
        <f t="shared" si="14"/>
        <v>2.6303307392996109E-2</v>
      </c>
      <c r="AD24" s="53">
        <f t="shared" si="14"/>
        <v>2.6039473684210526E-2</v>
      </c>
      <c r="AE24" s="53">
        <f t="shared" si="14"/>
        <v>2.6114909390444811E-2</v>
      </c>
      <c r="AF24" s="53">
        <f t="shared" si="14"/>
        <v>2.6566504854368931E-2</v>
      </c>
      <c r="AG24" s="53">
        <f t="shared" si="14"/>
        <v>2.6403307392996109E-2</v>
      </c>
      <c r="AH24" s="53">
        <f t="shared" si="14"/>
        <v>2.6139473684210525E-2</v>
      </c>
      <c r="AI24" s="53">
        <f t="shared" si="14"/>
        <v>2.621490939044481E-2</v>
      </c>
      <c r="AJ24" s="53">
        <f t="shared" si="14"/>
        <v>2.666650485436893E-2</v>
      </c>
      <c r="AK24" s="53">
        <f t="shared" si="14"/>
        <v>2.6503307392996108E-2</v>
      </c>
    </row>
    <row r="25" spans="1:37" x14ac:dyDescent="0.45">
      <c r="A25" s="12" t="s">
        <v>365</v>
      </c>
      <c r="B25" s="3" t="s">
        <v>366</v>
      </c>
      <c r="C25" s="12" t="s">
        <v>73</v>
      </c>
      <c r="E25" s="53">
        <f t="shared" ref="E25:W25" si="15">E24</f>
        <v>2.4619883040935674E-2</v>
      </c>
      <c r="F25" s="53">
        <f t="shared" si="15"/>
        <v>2.4606741573033709E-2</v>
      </c>
      <c r="G25" s="53">
        <f t="shared" si="15"/>
        <v>2.4120171673819742E-2</v>
      </c>
      <c r="H25" s="53">
        <f t="shared" si="15"/>
        <v>2.492063492063492E-2</v>
      </c>
      <c r="I25" s="53">
        <f t="shared" si="15"/>
        <v>2.5098039215686273E-2</v>
      </c>
      <c r="J25" s="53">
        <f t="shared" si="15"/>
        <v>2.5205992509363295E-2</v>
      </c>
      <c r="K25" s="53">
        <f t="shared" si="15"/>
        <v>2.5171339563862929E-2</v>
      </c>
      <c r="L25" s="53">
        <f t="shared" si="15"/>
        <v>2.540059347181009E-2</v>
      </c>
      <c r="M25" s="53">
        <f t="shared" si="15"/>
        <v>2.5252225519287835E-2</v>
      </c>
      <c r="N25" s="53">
        <f t="shared" si="15"/>
        <v>2.5158501440922191E-2</v>
      </c>
      <c r="O25" s="53">
        <f t="shared" si="15"/>
        <v>2.5259259259259259E-2</v>
      </c>
      <c r="P25" s="53">
        <f t="shared" si="15"/>
        <v>2.5587529976019183E-2</v>
      </c>
      <c r="Q25" s="53">
        <f t="shared" si="15"/>
        <v>2.5829383886255924E-2</v>
      </c>
      <c r="R25" s="53">
        <f t="shared" si="15"/>
        <v>2.5639810426540285E-2</v>
      </c>
      <c r="S25" s="53">
        <f t="shared" si="15"/>
        <v>2.5571142284569137E-2</v>
      </c>
      <c r="T25" s="53">
        <f t="shared" si="15"/>
        <v>2.6116504854368932E-2</v>
      </c>
      <c r="U25" s="53">
        <f t="shared" si="15"/>
        <v>2.595330739299611E-2</v>
      </c>
      <c r="V25" s="53">
        <f t="shared" si="15"/>
        <v>2.5789473684210525E-2</v>
      </c>
      <c r="W25" s="53">
        <f t="shared" si="15"/>
        <v>2.586490939044481E-2</v>
      </c>
      <c r="X25" s="53">
        <f t="shared" ref="X25:AK25" si="16">X24+Sens_TakeBps/BpsPerUnit</f>
        <v>2.6316504854368931E-2</v>
      </c>
      <c r="Y25" s="53">
        <f t="shared" si="16"/>
        <v>2.6153307392996109E-2</v>
      </c>
      <c r="Z25" s="53">
        <f t="shared" si="16"/>
        <v>2.5939473684210526E-2</v>
      </c>
      <c r="AA25" s="53">
        <f t="shared" si="16"/>
        <v>2.6014909390444811E-2</v>
      </c>
      <c r="AB25" s="53">
        <f t="shared" si="16"/>
        <v>2.6466504854368932E-2</v>
      </c>
      <c r="AC25" s="53">
        <f t="shared" si="16"/>
        <v>2.6303307392996109E-2</v>
      </c>
      <c r="AD25" s="53">
        <f t="shared" si="16"/>
        <v>2.6039473684210526E-2</v>
      </c>
      <c r="AE25" s="53">
        <f t="shared" si="16"/>
        <v>2.6114909390444811E-2</v>
      </c>
      <c r="AF25" s="53">
        <f t="shared" si="16"/>
        <v>2.6566504854368931E-2</v>
      </c>
      <c r="AG25" s="53">
        <f t="shared" si="16"/>
        <v>2.6403307392996109E-2</v>
      </c>
      <c r="AH25" s="53">
        <f t="shared" si="16"/>
        <v>2.6139473684210525E-2</v>
      </c>
      <c r="AI25" s="53">
        <f t="shared" si="16"/>
        <v>2.621490939044481E-2</v>
      </c>
      <c r="AJ25" s="53">
        <f t="shared" si="16"/>
        <v>2.666650485436893E-2</v>
      </c>
      <c r="AK25" s="53">
        <f t="shared" si="16"/>
        <v>2.6503307392996108E-2</v>
      </c>
    </row>
    <row r="26" spans="1:37" x14ac:dyDescent="0.45">
      <c r="A26" s="12" t="s">
        <v>367</v>
      </c>
      <c r="B26" s="3" t="s">
        <v>368</v>
      </c>
      <c r="C26" s="12" t="s">
        <v>183</v>
      </c>
      <c r="I26" s="54">
        <f t="shared" ref="I26:W26" si="17">(I25-E25)*BpsPerUnit</f>
        <v>4.7815617475059984</v>
      </c>
      <c r="J26" s="54">
        <f t="shared" si="17"/>
        <v>5.9925093632958584</v>
      </c>
      <c r="K26" s="54">
        <f t="shared" si="17"/>
        <v>10.511678900431871</v>
      </c>
      <c r="L26" s="54">
        <f t="shared" si="17"/>
        <v>4.7995855117517054</v>
      </c>
      <c r="M26" s="54">
        <f t="shared" si="17"/>
        <v>1.5418630360156116</v>
      </c>
      <c r="N26" s="54">
        <f t="shared" si="17"/>
        <v>-0.47491068441103679</v>
      </c>
      <c r="O26" s="54">
        <f t="shared" si="17"/>
        <v>0.879196953963296</v>
      </c>
      <c r="P26" s="54">
        <f t="shared" si="17"/>
        <v>1.8693650420909327</v>
      </c>
      <c r="Q26" s="54">
        <f t="shared" si="17"/>
        <v>5.7715836696808909</v>
      </c>
      <c r="R26" s="54">
        <f t="shared" si="17"/>
        <v>4.8130898561809383</v>
      </c>
      <c r="S26" s="54">
        <f t="shared" si="17"/>
        <v>3.118830253098781</v>
      </c>
      <c r="T26" s="54">
        <f t="shared" si="17"/>
        <v>5.2897487834974859</v>
      </c>
      <c r="U26" s="54">
        <f t="shared" si="17"/>
        <v>1.2392350674018602</v>
      </c>
      <c r="V26" s="54">
        <f t="shared" si="17"/>
        <v>1.4966325767024058</v>
      </c>
      <c r="W26" s="54">
        <f t="shared" si="17"/>
        <v>2.9376710587567314</v>
      </c>
      <c r="X26" s="32">
        <f>Drivers!X22</f>
        <v>2</v>
      </c>
      <c r="Y26" s="32">
        <f>Drivers!Y22</f>
        <v>2</v>
      </c>
      <c r="Z26" s="32">
        <f>Drivers!Z22</f>
        <v>1.5</v>
      </c>
      <c r="AA26" s="32">
        <f>Drivers!AA22</f>
        <v>1.5</v>
      </c>
      <c r="AB26" s="32">
        <f>Drivers!AB22</f>
        <v>1.5</v>
      </c>
      <c r="AC26" s="32">
        <f>Drivers!AC22</f>
        <v>1.5</v>
      </c>
      <c r="AD26" s="32">
        <f>Drivers!AD22</f>
        <v>1</v>
      </c>
      <c r="AE26" s="32">
        <f>Drivers!AE22</f>
        <v>1</v>
      </c>
      <c r="AF26" s="32">
        <f>Drivers!AF22</f>
        <v>1</v>
      </c>
      <c r="AG26" s="32">
        <f>Drivers!AG22</f>
        <v>1</v>
      </c>
      <c r="AH26" s="32">
        <f>Drivers!AH22</f>
        <v>1</v>
      </c>
      <c r="AI26" s="32">
        <f>Drivers!AI22</f>
        <v>1</v>
      </c>
      <c r="AJ26" s="32">
        <f>Drivers!AJ22</f>
        <v>1</v>
      </c>
      <c r="AK26" s="32">
        <f>Drivers!AK22</f>
        <v>1</v>
      </c>
    </row>
    <row r="27" spans="1:37" x14ac:dyDescent="0.45">
      <c r="A27" s="12" t="s">
        <v>369</v>
      </c>
      <c r="B27" s="4" t="s">
        <v>370</v>
      </c>
      <c r="C27" s="12" t="s">
        <v>70</v>
      </c>
      <c r="E27" s="48">
        <f>Hist_Q!E18</f>
        <v>421</v>
      </c>
      <c r="F27" s="48">
        <f>Hist_Q!F18</f>
        <v>438</v>
      </c>
      <c r="G27" s="48">
        <f>Hist_Q!G18</f>
        <v>562</v>
      </c>
      <c r="H27" s="48">
        <f>Hist_Q!H18</f>
        <v>628</v>
      </c>
      <c r="I27" s="48">
        <f>Hist_Q!I18</f>
        <v>640</v>
      </c>
      <c r="J27" s="48">
        <f>Hist_Q!J18</f>
        <v>673</v>
      </c>
      <c r="K27" s="48">
        <f>Hist_Q!K18</f>
        <v>808</v>
      </c>
      <c r="L27" s="48">
        <f>Hist_Q!L18</f>
        <v>856</v>
      </c>
      <c r="M27" s="48">
        <f>Hist_Q!M18</f>
        <v>851</v>
      </c>
      <c r="N27" s="48">
        <f>Hist_Q!N18</f>
        <v>873</v>
      </c>
      <c r="O27" s="48">
        <f>Hist_Q!O18</f>
        <v>1023</v>
      </c>
      <c r="P27" s="48">
        <f>Hist_Q!P18</f>
        <v>1067</v>
      </c>
      <c r="Q27" s="48">
        <f>Hist_Q!Q18</f>
        <v>1090</v>
      </c>
      <c r="R27" s="48">
        <f>Hist_Q!R18</f>
        <v>1082</v>
      </c>
      <c r="S27" s="48">
        <f>Hist_Q!S18</f>
        <v>1276</v>
      </c>
      <c r="T27" s="48">
        <f>Hist_Q!T18</f>
        <v>1345</v>
      </c>
      <c r="U27" s="48">
        <f>Hist_Q!U18</f>
        <v>1334</v>
      </c>
      <c r="V27" s="48">
        <f>Hist_Q!V18</f>
        <v>1323</v>
      </c>
      <c r="W27" s="48">
        <f>Hist_Q!W18</f>
        <v>1570</v>
      </c>
      <c r="X27" s="49">
        <f t="shared" ref="X27:AK27" si="18">X23*MnPerBn*X25</f>
        <v>1633.1016209558823</v>
      </c>
      <c r="Y27" s="49">
        <f t="shared" si="18"/>
        <v>1608.6109162941175</v>
      </c>
      <c r="Z27" s="49">
        <f t="shared" si="18"/>
        <v>1583.2700237489025</v>
      </c>
      <c r="AA27" s="49">
        <f t="shared" si="18"/>
        <v>1868.3884616742077</v>
      </c>
      <c r="AB27" s="49">
        <f t="shared" si="18"/>
        <v>1932.6494573811915</v>
      </c>
      <c r="AC27" s="49">
        <f t="shared" si="18"/>
        <v>1893.0972435067097</v>
      </c>
      <c r="AD27" s="49">
        <f t="shared" si="18"/>
        <v>1859.170507506585</v>
      </c>
      <c r="AE27" s="49">
        <f t="shared" si="18"/>
        <v>2181.1343857633647</v>
      </c>
      <c r="AF27" s="49">
        <f t="shared" si="18"/>
        <v>2242.9381082738964</v>
      </c>
      <c r="AG27" s="49">
        <f t="shared" si="18"/>
        <v>2185.8078602964151</v>
      </c>
      <c r="AH27" s="49">
        <f t="shared" si="18"/>
        <v>2137.1432049956097</v>
      </c>
      <c r="AI27" s="49">
        <f t="shared" si="18"/>
        <v>2496.220459140271</v>
      </c>
      <c r="AJ27" s="49">
        <f t="shared" si="18"/>
        <v>2555.5077246600226</v>
      </c>
      <c r="AK27" s="49">
        <f t="shared" si="18"/>
        <v>2480.6811866986209</v>
      </c>
    </row>
    <row r="28" spans="1:37" x14ac:dyDescent="0.45">
      <c r="A28" s="12" t="s">
        <v>371</v>
      </c>
      <c r="B28" s="3" t="s">
        <v>372</v>
      </c>
      <c r="C28" s="12" t="s">
        <v>73</v>
      </c>
      <c r="E28" s="53">
        <f t="shared" ref="E28:W28" si="19">E43/(E23*MnPerBn)</f>
        <v>1.9941520467836257E-2</v>
      </c>
      <c r="F28" s="53">
        <f t="shared" si="19"/>
        <v>1.9494382022471911E-2</v>
      </c>
      <c r="G28" s="53">
        <f t="shared" si="19"/>
        <v>1.9227467811158798E-2</v>
      </c>
      <c r="H28" s="53">
        <f t="shared" si="19"/>
        <v>1.9603174603174602E-2</v>
      </c>
      <c r="I28" s="53">
        <f t="shared" si="19"/>
        <v>1.9725490196078433E-2</v>
      </c>
      <c r="J28" s="53">
        <f t="shared" si="19"/>
        <v>1.9588014981273407E-2</v>
      </c>
      <c r="K28" s="53">
        <f t="shared" si="19"/>
        <v>1.9657320872274144E-2</v>
      </c>
      <c r="L28" s="53">
        <f t="shared" si="19"/>
        <v>0.02</v>
      </c>
      <c r="M28" s="53">
        <f t="shared" si="19"/>
        <v>2.0029673590504452E-2</v>
      </c>
      <c r="N28" s="53">
        <f t="shared" si="19"/>
        <v>1.9682997118155618E-2</v>
      </c>
      <c r="O28" s="53">
        <f t="shared" si="19"/>
        <v>1.9901234567901233E-2</v>
      </c>
      <c r="P28" s="53">
        <f t="shared" si="19"/>
        <v>2.002398081534772E-2</v>
      </c>
      <c r="Q28" s="53">
        <f t="shared" si="19"/>
        <v>2.0189573459715639E-2</v>
      </c>
      <c r="R28" s="53">
        <f t="shared" si="19"/>
        <v>1.9691943127962085E-2</v>
      </c>
      <c r="S28" s="53">
        <f t="shared" si="19"/>
        <v>1.9879759519038077E-2</v>
      </c>
      <c r="T28" s="53">
        <f t="shared" si="19"/>
        <v>2.0038834951456311E-2</v>
      </c>
      <c r="U28" s="53">
        <f t="shared" si="19"/>
        <v>2.0155642023346302E-2</v>
      </c>
      <c r="V28" s="53">
        <f t="shared" si="19"/>
        <v>1.9707602339181285E-2</v>
      </c>
      <c r="W28" s="53">
        <f t="shared" si="19"/>
        <v>1.9950576606260297E-2</v>
      </c>
      <c r="X28" s="53">
        <f t="shared" ref="X28:AK28" si="20">T28+X30/BpsPerUnit</f>
        <v>2.0088834951456313E-2</v>
      </c>
      <c r="Y28" s="53">
        <f t="shared" si="20"/>
        <v>2.0205642023346303E-2</v>
      </c>
      <c r="Z28" s="53">
        <f t="shared" si="20"/>
        <v>1.9757602339181286E-2</v>
      </c>
      <c r="AA28" s="53">
        <f t="shared" si="20"/>
        <v>2.0000576606260298E-2</v>
      </c>
      <c r="AB28" s="53">
        <f t="shared" si="20"/>
        <v>2.0138834951456314E-2</v>
      </c>
      <c r="AC28" s="53">
        <f t="shared" si="20"/>
        <v>2.0255642023346305E-2</v>
      </c>
      <c r="AD28" s="53">
        <f t="shared" si="20"/>
        <v>1.9807602339181288E-2</v>
      </c>
      <c r="AE28" s="53">
        <f t="shared" si="20"/>
        <v>2.0050576606260299E-2</v>
      </c>
      <c r="AF28" s="53">
        <f t="shared" si="20"/>
        <v>2.0188834951456316E-2</v>
      </c>
      <c r="AG28" s="53">
        <f t="shared" si="20"/>
        <v>2.0305642023346306E-2</v>
      </c>
      <c r="AH28" s="53">
        <f t="shared" si="20"/>
        <v>1.9857602339181289E-2</v>
      </c>
      <c r="AI28" s="53">
        <f t="shared" si="20"/>
        <v>2.0100576606260301E-2</v>
      </c>
      <c r="AJ28" s="53">
        <f t="shared" si="20"/>
        <v>2.0238834951456317E-2</v>
      </c>
      <c r="AK28" s="53">
        <f t="shared" si="20"/>
        <v>2.0355642023346308E-2</v>
      </c>
    </row>
    <row r="29" spans="1:37" x14ac:dyDescent="0.45">
      <c r="A29" s="12" t="s">
        <v>373</v>
      </c>
      <c r="B29" s="3" t="s">
        <v>374</v>
      </c>
      <c r="C29" s="12" t="s">
        <v>73</v>
      </c>
      <c r="E29" s="53">
        <f t="shared" ref="E29:W29" si="21">E28</f>
        <v>1.9941520467836257E-2</v>
      </c>
      <c r="F29" s="53">
        <f t="shared" si="21"/>
        <v>1.9494382022471911E-2</v>
      </c>
      <c r="G29" s="53">
        <f t="shared" si="21"/>
        <v>1.9227467811158798E-2</v>
      </c>
      <c r="H29" s="53">
        <f t="shared" si="21"/>
        <v>1.9603174603174602E-2</v>
      </c>
      <c r="I29" s="53">
        <f t="shared" si="21"/>
        <v>1.9725490196078433E-2</v>
      </c>
      <c r="J29" s="53">
        <f t="shared" si="21"/>
        <v>1.9588014981273407E-2</v>
      </c>
      <c r="K29" s="53">
        <f t="shared" si="21"/>
        <v>1.9657320872274144E-2</v>
      </c>
      <c r="L29" s="53">
        <f t="shared" si="21"/>
        <v>0.02</v>
      </c>
      <c r="M29" s="53">
        <f t="shared" si="21"/>
        <v>2.0029673590504452E-2</v>
      </c>
      <c r="N29" s="53">
        <f t="shared" si="21"/>
        <v>1.9682997118155618E-2</v>
      </c>
      <c r="O29" s="53">
        <f t="shared" si="21"/>
        <v>1.9901234567901233E-2</v>
      </c>
      <c r="P29" s="53">
        <f t="shared" si="21"/>
        <v>2.002398081534772E-2</v>
      </c>
      <c r="Q29" s="53">
        <f t="shared" si="21"/>
        <v>2.0189573459715639E-2</v>
      </c>
      <c r="R29" s="53">
        <f t="shared" si="21"/>
        <v>1.9691943127962085E-2</v>
      </c>
      <c r="S29" s="53">
        <f t="shared" si="21"/>
        <v>1.9879759519038077E-2</v>
      </c>
      <c r="T29" s="53">
        <f t="shared" si="21"/>
        <v>2.0038834951456311E-2</v>
      </c>
      <c r="U29" s="53">
        <f t="shared" si="21"/>
        <v>2.0155642023346302E-2</v>
      </c>
      <c r="V29" s="53">
        <f t="shared" si="21"/>
        <v>1.9707602339181285E-2</v>
      </c>
      <c r="W29" s="53">
        <f t="shared" si="21"/>
        <v>1.9950576606260297E-2</v>
      </c>
      <c r="X29" s="53">
        <f t="shared" ref="X29:AK29" si="22">X28+Sens_FinCostBps/BpsPerUnit</f>
        <v>2.0088834951456313E-2</v>
      </c>
      <c r="Y29" s="53">
        <f t="shared" si="22"/>
        <v>2.0205642023346303E-2</v>
      </c>
      <c r="Z29" s="53">
        <f t="shared" si="22"/>
        <v>1.9757602339181286E-2</v>
      </c>
      <c r="AA29" s="53">
        <f t="shared" si="22"/>
        <v>2.0000576606260298E-2</v>
      </c>
      <c r="AB29" s="53">
        <f t="shared" si="22"/>
        <v>2.0138834951456314E-2</v>
      </c>
      <c r="AC29" s="53">
        <f t="shared" si="22"/>
        <v>2.0255642023346305E-2</v>
      </c>
      <c r="AD29" s="53">
        <f t="shared" si="22"/>
        <v>1.9807602339181288E-2</v>
      </c>
      <c r="AE29" s="53">
        <f t="shared" si="22"/>
        <v>2.0050576606260299E-2</v>
      </c>
      <c r="AF29" s="53">
        <f t="shared" si="22"/>
        <v>2.0188834951456316E-2</v>
      </c>
      <c r="AG29" s="53">
        <f t="shared" si="22"/>
        <v>2.0305642023346306E-2</v>
      </c>
      <c r="AH29" s="53">
        <f t="shared" si="22"/>
        <v>1.9857602339181289E-2</v>
      </c>
      <c r="AI29" s="53">
        <f t="shared" si="22"/>
        <v>2.0100576606260301E-2</v>
      </c>
      <c r="AJ29" s="53">
        <f t="shared" si="22"/>
        <v>2.0238834951456317E-2</v>
      </c>
      <c r="AK29" s="53">
        <f t="shared" si="22"/>
        <v>2.0355642023346308E-2</v>
      </c>
    </row>
    <row r="30" spans="1:37" x14ac:dyDescent="0.45">
      <c r="A30" s="12" t="s">
        <v>375</v>
      </c>
      <c r="B30" s="3" t="s">
        <v>376</v>
      </c>
      <c r="C30" s="12" t="s">
        <v>183</v>
      </c>
      <c r="I30" s="54">
        <f t="shared" ref="I30:W30" si="23">(I29-E29)*BpsPerUnit</f>
        <v>-2.1603027175782357</v>
      </c>
      <c r="J30" s="54">
        <f t="shared" si="23"/>
        <v>0.93632958801496269</v>
      </c>
      <c r="K30" s="54">
        <f t="shared" si="23"/>
        <v>4.2985306111534634</v>
      </c>
      <c r="L30" s="54">
        <f t="shared" si="23"/>
        <v>3.9682539682539888</v>
      </c>
      <c r="M30" s="54">
        <f t="shared" si="23"/>
        <v>3.0418339442601914</v>
      </c>
      <c r="N30" s="54">
        <f t="shared" si="23"/>
        <v>0.94982136882210821</v>
      </c>
      <c r="O30" s="54">
        <f t="shared" si="23"/>
        <v>2.4391369562708904</v>
      </c>
      <c r="P30" s="54">
        <f t="shared" si="23"/>
        <v>0.23980815347719731</v>
      </c>
      <c r="Q30" s="54">
        <f t="shared" si="23"/>
        <v>1.5989986921118722</v>
      </c>
      <c r="R30" s="54">
        <f t="shared" si="23"/>
        <v>8.9460098064673976E-2</v>
      </c>
      <c r="S30" s="54">
        <f t="shared" si="23"/>
        <v>-0.21475048863156543</v>
      </c>
      <c r="T30" s="54">
        <f t="shared" si="23"/>
        <v>0.1485413610859132</v>
      </c>
      <c r="U30" s="54">
        <f t="shared" si="23"/>
        <v>-0.33931436369337431</v>
      </c>
      <c r="V30" s="54">
        <f t="shared" si="23"/>
        <v>0.15659211219199581</v>
      </c>
      <c r="W30" s="54">
        <f t="shared" si="23"/>
        <v>0.70817087222219821</v>
      </c>
      <c r="X30" s="32">
        <f>Drivers!X23</f>
        <v>0.5</v>
      </c>
      <c r="Y30" s="32">
        <f>Drivers!Y23</f>
        <v>0.5</v>
      </c>
      <c r="Z30" s="32">
        <f>Drivers!Z23</f>
        <v>0.5</v>
      </c>
      <c r="AA30" s="32">
        <f>Drivers!AA23</f>
        <v>0.5</v>
      </c>
      <c r="AB30" s="32">
        <f>Drivers!AB23</f>
        <v>0.5</v>
      </c>
      <c r="AC30" s="32">
        <f>Drivers!AC23</f>
        <v>0.5</v>
      </c>
      <c r="AD30" s="32">
        <f>Drivers!AD23</f>
        <v>0.5</v>
      </c>
      <c r="AE30" s="32">
        <f>Drivers!AE23</f>
        <v>0.5</v>
      </c>
      <c r="AF30" s="32">
        <f>Drivers!AF23</f>
        <v>0.5</v>
      </c>
      <c r="AG30" s="32">
        <f>Drivers!AG23</f>
        <v>0.5</v>
      </c>
      <c r="AH30" s="32">
        <f>Drivers!AH23</f>
        <v>0.5</v>
      </c>
      <c r="AI30" s="32">
        <f>Drivers!AI23</f>
        <v>0.5</v>
      </c>
      <c r="AJ30" s="32">
        <f>Drivers!AJ23</f>
        <v>0.5</v>
      </c>
      <c r="AK30" s="32">
        <f>Drivers!AK23</f>
        <v>0.5</v>
      </c>
    </row>
    <row r="31" spans="1:37" x14ac:dyDescent="0.45">
      <c r="A31" s="21"/>
      <c r="B31" s="22" t="s">
        <v>377</v>
      </c>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row>
    <row r="32" spans="1:37" x14ac:dyDescent="0.45">
      <c r="A32" s="12" t="s">
        <v>378</v>
      </c>
      <c r="B32" s="3" t="s">
        <v>379</v>
      </c>
      <c r="C32" s="12" t="s">
        <v>193</v>
      </c>
      <c r="F32" s="55">
        <f t="shared" ref="F32:W32" si="24">F34/F11*Thousand</f>
        <v>6.8</v>
      </c>
      <c r="G32" s="55">
        <f t="shared" si="24"/>
        <v>6.166666666666667</v>
      </c>
      <c r="H32" s="55">
        <f t="shared" si="24"/>
        <v>5.666666666666667</v>
      </c>
      <c r="I32" s="55">
        <f t="shared" si="24"/>
        <v>6.8</v>
      </c>
      <c r="J32" s="55">
        <f t="shared" si="24"/>
        <v>6.5</v>
      </c>
      <c r="K32" s="55">
        <f t="shared" si="24"/>
        <v>6.125</v>
      </c>
      <c r="L32" s="55">
        <f t="shared" si="24"/>
        <v>7.5</v>
      </c>
      <c r="M32" s="55">
        <f t="shared" si="24"/>
        <v>6.1428571428571423</v>
      </c>
      <c r="N32" s="55">
        <f t="shared" si="24"/>
        <v>8.5</v>
      </c>
      <c r="O32" s="55">
        <f t="shared" si="24"/>
        <v>6.625</v>
      </c>
      <c r="P32" s="55">
        <f t="shared" si="24"/>
        <v>7</v>
      </c>
      <c r="Q32" s="55">
        <f t="shared" si="24"/>
        <v>6.8571428571428568</v>
      </c>
      <c r="R32" s="55">
        <f t="shared" si="24"/>
        <v>7.6666666666666661</v>
      </c>
      <c r="S32" s="55">
        <f t="shared" si="24"/>
        <v>5.875</v>
      </c>
      <c r="T32" s="55">
        <f t="shared" si="24"/>
        <v>5.5</v>
      </c>
      <c r="U32" s="55">
        <f t="shared" si="24"/>
        <v>5.375</v>
      </c>
      <c r="V32" s="55">
        <f t="shared" si="24"/>
        <v>5.5714285714285721</v>
      </c>
      <c r="W32" s="55">
        <f t="shared" si="24"/>
        <v>5.333333333333333</v>
      </c>
      <c r="X32" s="37">
        <f>Drivers!X29</f>
        <v>5.4</v>
      </c>
      <c r="Y32" s="37">
        <f>Drivers!Y29</f>
        <v>5.4</v>
      </c>
      <c r="Z32" s="37">
        <f>Drivers!Z29</f>
        <v>5.3</v>
      </c>
      <c r="AA32" s="37">
        <f>Drivers!AA29</f>
        <v>5.3</v>
      </c>
      <c r="AB32" s="37">
        <f>Drivers!AB29</f>
        <v>5.3</v>
      </c>
      <c r="AC32" s="37">
        <f>Drivers!AC29</f>
        <v>5.3</v>
      </c>
      <c r="AD32" s="37">
        <f>Drivers!AD29</f>
        <v>5.2</v>
      </c>
      <c r="AE32" s="37">
        <f>Drivers!AE29</f>
        <v>5.2</v>
      </c>
      <c r="AF32" s="37">
        <f>Drivers!AF29</f>
        <v>5.2</v>
      </c>
      <c r="AG32" s="37">
        <f>Drivers!AG29</f>
        <v>5.2</v>
      </c>
      <c r="AH32" s="37">
        <f>Drivers!AH29</f>
        <v>5.0999999999999996</v>
      </c>
      <c r="AI32" s="37">
        <f>Drivers!AI29</f>
        <v>5.0999999999999996</v>
      </c>
      <c r="AJ32" s="37">
        <f>Drivers!AJ29</f>
        <v>5.0999999999999996</v>
      </c>
      <c r="AK32" s="37">
        <f>Drivers!AK29</f>
        <v>5.0999999999999996</v>
      </c>
    </row>
    <row r="33" spans="1:37" x14ac:dyDescent="0.45">
      <c r="A33" s="12" t="s">
        <v>380</v>
      </c>
      <c r="B33" s="3" t="s">
        <v>381</v>
      </c>
      <c r="C33" s="12" t="s">
        <v>65</v>
      </c>
      <c r="X33" s="13">
        <f>X11+Drivers!X19</f>
        <v>8152.9411764705883</v>
      </c>
      <c r="Y33" s="13">
        <f>Y11+Drivers!Y19</f>
        <v>8541.176470588236</v>
      </c>
      <c r="Z33" s="13">
        <f>Z11+Drivers!Z19</f>
        <v>7200</v>
      </c>
      <c r="AA33" s="13">
        <f>AA11+Drivers!AA19</f>
        <v>9600</v>
      </c>
      <c r="AB33" s="13">
        <f>AB11+Drivers!AB19</f>
        <v>8400</v>
      </c>
      <c r="AC33" s="13">
        <f>AC11+Drivers!AC19</f>
        <v>8800</v>
      </c>
      <c r="AD33" s="13">
        <f>AD11+Drivers!AD19</f>
        <v>7200</v>
      </c>
      <c r="AE33" s="13">
        <f>AE11+Drivers!AE19</f>
        <v>9600</v>
      </c>
      <c r="AF33" s="13">
        <f>AF11+Drivers!AF19</f>
        <v>8400</v>
      </c>
      <c r="AG33" s="13">
        <f>AG11+Drivers!AG19</f>
        <v>8800</v>
      </c>
      <c r="AH33" s="13">
        <f>AH11+Drivers!AH19</f>
        <v>7200</v>
      </c>
      <c r="AI33" s="13">
        <f>AI11+Drivers!AI19</f>
        <v>9600</v>
      </c>
      <c r="AJ33" s="13">
        <f>AJ11+Drivers!AJ19</f>
        <v>8400</v>
      </c>
      <c r="AK33" s="13">
        <f>AK11+Drivers!AK19</f>
        <v>8800</v>
      </c>
    </row>
    <row r="34" spans="1:37" x14ac:dyDescent="0.45">
      <c r="A34" s="12" t="s">
        <v>382</v>
      </c>
      <c r="B34" s="4" t="s">
        <v>383</v>
      </c>
      <c r="C34" s="12" t="s">
        <v>70</v>
      </c>
      <c r="E34" s="48">
        <f>Hist_Q!E35</f>
        <v>37</v>
      </c>
      <c r="F34" s="48">
        <f>Hist_Q!F35</f>
        <v>34</v>
      </c>
      <c r="G34" s="48">
        <f>Hist_Q!G35</f>
        <v>37</v>
      </c>
      <c r="H34" s="48">
        <f>Hist_Q!H35</f>
        <v>34</v>
      </c>
      <c r="I34" s="48">
        <f>Hist_Q!I35</f>
        <v>34</v>
      </c>
      <c r="J34" s="48">
        <f>Hist_Q!J35</f>
        <v>39</v>
      </c>
      <c r="K34" s="48">
        <f>Hist_Q!K35</f>
        <v>49</v>
      </c>
      <c r="L34" s="48">
        <f>Hist_Q!L35</f>
        <v>45</v>
      </c>
      <c r="M34" s="48">
        <f>Hist_Q!M35</f>
        <v>43</v>
      </c>
      <c r="N34" s="48">
        <f>Hist_Q!N35</f>
        <v>51</v>
      </c>
      <c r="O34" s="48">
        <f>Hist_Q!O35</f>
        <v>53</v>
      </c>
      <c r="P34" s="48">
        <f>Hist_Q!P35</f>
        <v>49</v>
      </c>
      <c r="Q34" s="48">
        <f>Hist_Q!Q35</f>
        <v>48</v>
      </c>
      <c r="R34" s="48">
        <f>Hist_Q!R35</f>
        <v>46</v>
      </c>
      <c r="S34" s="48">
        <f>Hist_Q!S35</f>
        <v>47</v>
      </c>
      <c r="T34" s="48">
        <f>Hist_Q!T35</f>
        <v>44</v>
      </c>
      <c r="U34" s="48">
        <f>Hist_Q!U35</f>
        <v>43</v>
      </c>
      <c r="V34" s="48">
        <f>Hist_Q!V35</f>
        <v>39</v>
      </c>
      <c r="W34" s="48">
        <f>Hist_Q!W35</f>
        <v>48</v>
      </c>
      <c r="X34" s="49">
        <f t="shared" ref="X34:AK34" si="25">X33*X32/Thousand</f>
        <v>44.025882352941181</v>
      </c>
      <c r="Y34" s="49">
        <f t="shared" si="25"/>
        <v>46.122352941176473</v>
      </c>
      <c r="Z34" s="49">
        <f t="shared" si="25"/>
        <v>38.159999999999997</v>
      </c>
      <c r="AA34" s="49">
        <f t="shared" si="25"/>
        <v>50.88</v>
      </c>
      <c r="AB34" s="49">
        <f t="shared" si="25"/>
        <v>44.52</v>
      </c>
      <c r="AC34" s="49">
        <f t="shared" si="25"/>
        <v>46.64</v>
      </c>
      <c r="AD34" s="49">
        <f t="shared" si="25"/>
        <v>37.44</v>
      </c>
      <c r="AE34" s="49">
        <f t="shared" si="25"/>
        <v>49.92</v>
      </c>
      <c r="AF34" s="49">
        <f t="shared" si="25"/>
        <v>43.68</v>
      </c>
      <c r="AG34" s="49">
        <f t="shared" si="25"/>
        <v>45.76</v>
      </c>
      <c r="AH34" s="49">
        <f t="shared" si="25"/>
        <v>36.72</v>
      </c>
      <c r="AI34" s="49">
        <f t="shared" si="25"/>
        <v>48.96</v>
      </c>
      <c r="AJ34" s="49">
        <f t="shared" si="25"/>
        <v>42.84</v>
      </c>
      <c r="AK34" s="49">
        <f t="shared" si="25"/>
        <v>44.88</v>
      </c>
    </row>
    <row r="36" spans="1:37" x14ac:dyDescent="0.45">
      <c r="A36" s="12" t="s">
        <v>384</v>
      </c>
      <c r="B36" s="4" t="s">
        <v>69</v>
      </c>
      <c r="C36" s="12" t="s">
        <v>70</v>
      </c>
      <c r="E36" s="56">
        <f t="shared" ref="E36:AK36" si="26">E17+E27+E34</f>
        <v>512</v>
      </c>
      <c r="F36" s="56">
        <f t="shared" si="26"/>
        <v>535</v>
      </c>
      <c r="G36" s="56">
        <f t="shared" si="26"/>
        <v>675</v>
      </c>
      <c r="H36" s="56">
        <f t="shared" si="26"/>
        <v>752</v>
      </c>
      <c r="I36" s="56">
        <f t="shared" si="26"/>
        <v>768</v>
      </c>
      <c r="J36" s="56">
        <f t="shared" si="26"/>
        <v>819</v>
      </c>
      <c r="K36" s="56">
        <f t="shared" si="26"/>
        <v>978</v>
      </c>
      <c r="L36" s="56">
        <f t="shared" si="26"/>
        <v>1032</v>
      </c>
      <c r="M36" s="56">
        <f t="shared" si="26"/>
        <v>1036</v>
      </c>
      <c r="N36" s="56">
        <f t="shared" si="26"/>
        <v>1075</v>
      </c>
      <c r="O36" s="56">
        <f t="shared" si="26"/>
        <v>1242</v>
      </c>
      <c r="P36" s="56">
        <f t="shared" si="26"/>
        <v>1305</v>
      </c>
      <c r="Q36" s="56">
        <f t="shared" si="26"/>
        <v>1338</v>
      </c>
      <c r="R36" s="56">
        <f t="shared" si="26"/>
        <v>1337</v>
      </c>
      <c r="S36" s="56">
        <f t="shared" si="26"/>
        <v>1550</v>
      </c>
      <c r="T36" s="56">
        <f t="shared" si="26"/>
        <v>1633</v>
      </c>
      <c r="U36" s="56">
        <f t="shared" si="26"/>
        <v>1633</v>
      </c>
      <c r="V36" s="56">
        <f t="shared" si="26"/>
        <v>1630</v>
      </c>
      <c r="W36" s="56">
        <f t="shared" si="26"/>
        <v>1908</v>
      </c>
      <c r="X36" s="56">
        <f t="shared" si="26"/>
        <v>1985.9157827205881</v>
      </c>
      <c r="Y36" s="56">
        <f t="shared" si="26"/>
        <v>1976.4654104117644</v>
      </c>
      <c r="Z36" s="56">
        <f t="shared" si="26"/>
        <v>1954.7194355136085</v>
      </c>
      <c r="AA36" s="56">
        <f t="shared" si="26"/>
        <v>2277.9131675565609</v>
      </c>
      <c r="AB36" s="56">
        <f t="shared" si="26"/>
        <v>2356.9586150282503</v>
      </c>
      <c r="AC36" s="56">
        <f t="shared" si="26"/>
        <v>2333.2355588008272</v>
      </c>
      <c r="AD36" s="56">
        <f t="shared" si="26"/>
        <v>2300.1212086830556</v>
      </c>
      <c r="AE36" s="56">
        <f t="shared" si="26"/>
        <v>2662.7263230182666</v>
      </c>
      <c r="AF36" s="56">
        <f t="shared" si="26"/>
        <v>2741.0923604386021</v>
      </c>
      <c r="AG36" s="56">
        <f t="shared" si="26"/>
        <v>2700.029803825827</v>
      </c>
      <c r="AH36" s="56">
        <f t="shared" si="26"/>
        <v>2649.7920720073739</v>
      </c>
      <c r="AI36" s="56">
        <f t="shared" si="26"/>
        <v>3052.0914611794865</v>
      </c>
      <c r="AJ36" s="56">
        <f t="shared" si="26"/>
        <v>3129.6904526096696</v>
      </c>
      <c r="AK36" s="56">
        <f t="shared" si="26"/>
        <v>3071.1039113499151</v>
      </c>
    </row>
    <row r="37" spans="1:37" x14ac:dyDescent="0.45">
      <c r="A37" s="12" t="s">
        <v>385</v>
      </c>
      <c r="B37" s="3" t="s">
        <v>386</v>
      </c>
      <c r="C37" s="12" t="s">
        <v>73</v>
      </c>
      <c r="I37" s="51">
        <f t="shared" ref="I37:AK37" si="27">I36/E36-1</f>
        <v>0.5</v>
      </c>
      <c r="J37" s="51">
        <f t="shared" si="27"/>
        <v>0.53084112149532703</v>
      </c>
      <c r="K37" s="51">
        <f t="shared" si="27"/>
        <v>0.44888888888888889</v>
      </c>
      <c r="L37" s="51">
        <f t="shared" si="27"/>
        <v>0.37234042553191493</v>
      </c>
      <c r="M37" s="51">
        <f t="shared" si="27"/>
        <v>0.34895833333333326</v>
      </c>
      <c r="N37" s="51">
        <f t="shared" si="27"/>
        <v>0.31257631257631258</v>
      </c>
      <c r="O37" s="51">
        <f t="shared" si="27"/>
        <v>0.26993865030674846</v>
      </c>
      <c r="P37" s="51">
        <f t="shared" si="27"/>
        <v>0.26453488372093026</v>
      </c>
      <c r="Q37" s="51">
        <f t="shared" si="27"/>
        <v>0.29150579150579148</v>
      </c>
      <c r="R37" s="51">
        <f t="shared" si="27"/>
        <v>0.24372093023255803</v>
      </c>
      <c r="S37" s="51">
        <f t="shared" si="27"/>
        <v>0.24798711755233493</v>
      </c>
      <c r="T37" s="51">
        <f t="shared" si="27"/>
        <v>0.25134099616858241</v>
      </c>
      <c r="U37" s="51">
        <f t="shared" si="27"/>
        <v>0.22047832585949179</v>
      </c>
      <c r="V37" s="51">
        <f t="shared" si="27"/>
        <v>0.2191473448017951</v>
      </c>
      <c r="W37" s="51">
        <f t="shared" si="27"/>
        <v>0.23096774193548386</v>
      </c>
      <c r="X37" s="51">
        <f t="shared" si="27"/>
        <v>0.21611499248045818</v>
      </c>
      <c r="Y37" s="51">
        <f t="shared" si="27"/>
        <v>0.21032786920499968</v>
      </c>
      <c r="Z37" s="51">
        <f t="shared" si="27"/>
        <v>0.1992143776157107</v>
      </c>
      <c r="AA37" s="51">
        <f t="shared" si="27"/>
        <v>0.19387482576339665</v>
      </c>
      <c r="AB37" s="51">
        <f t="shared" si="27"/>
        <v>0.18683714361711523</v>
      </c>
      <c r="AC37" s="51">
        <f t="shared" si="27"/>
        <v>0.18050917891587859</v>
      </c>
      <c r="AD37" s="51">
        <f t="shared" si="27"/>
        <v>0.17670145745427224</v>
      </c>
      <c r="AE37" s="51">
        <f t="shared" si="27"/>
        <v>0.1689323196961372</v>
      </c>
      <c r="AF37" s="51">
        <f t="shared" si="27"/>
        <v>0.16297857033257568</v>
      </c>
      <c r="AG37" s="51">
        <f t="shared" si="27"/>
        <v>0.15720412096475789</v>
      </c>
      <c r="AH37" s="51">
        <f t="shared" si="27"/>
        <v>0.15202279862656631</v>
      </c>
      <c r="AI37" s="51">
        <f t="shared" si="27"/>
        <v>0.14622799752092619</v>
      </c>
      <c r="AJ37" s="51">
        <f t="shared" si="27"/>
        <v>0.14176760250022657</v>
      </c>
      <c r="AK37" s="51">
        <f t="shared" si="27"/>
        <v>0.13743333758697474</v>
      </c>
    </row>
    <row r="38" spans="1:37" x14ac:dyDescent="0.45">
      <c r="A38" s="12" t="s">
        <v>387</v>
      </c>
      <c r="B38" s="3" t="s">
        <v>388</v>
      </c>
      <c r="C38" s="12" t="s">
        <v>73</v>
      </c>
      <c r="E38" s="51">
        <f t="shared" ref="E38:AK38" si="28">E27/E36</f>
        <v>0.822265625</v>
      </c>
      <c r="F38" s="51">
        <f t="shared" si="28"/>
        <v>0.81869158878504678</v>
      </c>
      <c r="G38" s="51">
        <f t="shared" si="28"/>
        <v>0.83259259259259255</v>
      </c>
      <c r="H38" s="51">
        <f t="shared" si="28"/>
        <v>0.83510638297872342</v>
      </c>
      <c r="I38" s="51">
        <f t="shared" si="28"/>
        <v>0.83333333333333337</v>
      </c>
      <c r="J38" s="51">
        <f t="shared" si="28"/>
        <v>0.8217338217338217</v>
      </c>
      <c r="K38" s="51">
        <f t="shared" si="28"/>
        <v>0.82617586912065444</v>
      </c>
      <c r="L38" s="51">
        <f t="shared" si="28"/>
        <v>0.8294573643410853</v>
      </c>
      <c r="M38" s="51">
        <f t="shared" si="28"/>
        <v>0.8214285714285714</v>
      </c>
      <c r="N38" s="51">
        <f t="shared" si="28"/>
        <v>0.81209302325581401</v>
      </c>
      <c r="O38" s="51">
        <f t="shared" si="28"/>
        <v>0.82367149758454106</v>
      </c>
      <c r="P38" s="51">
        <f t="shared" si="28"/>
        <v>0.81762452107279693</v>
      </c>
      <c r="Q38" s="51">
        <f t="shared" si="28"/>
        <v>0.81464872944693567</v>
      </c>
      <c r="R38" s="51">
        <f t="shared" si="28"/>
        <v>0.80927449513836947</v>
      </c>
      <c r="S38" s="51">
        <f t="shared" si="28"/>
        <v>0.82322580645161292</v>
      </c>
      <c r="T38" s="51">
        <f t="shared" si="28"/>
        <v>0.82363747703612977</v>
      </c>
      <c r="U38" s="51">
        <f t="shared" si="28"/>
        <v>0.81690140845070425</v>
      </c>
      <c r="V38" s="51">
        <f t="shared" si="28"/>
        <v>0.81165644171779139</v>
      </c>
      <c r="W38" s="51">
        <f t="shared" si="28"/>
        <v>0.82285115303983225</v>
      </c>
      <c r="X38" s="51">
        <f t="shared" si="28"/>
        <v>0.82234183099075275</v>
      </c>
      <c r="Y38" s="51">
        <f t="shared" si="28"/>
        <v>0.81388265527955261</v>
      </c>
      <c r="Z38" s="51">
        <f t="shared" si="28"/>
        <v>0.80997302988031816</v>
      </c>
      <c r="AA38" s="51">
        <f t="shared" si="28"/>
        <v>0.82021935176675931</v>
      </c>
      <c r="AB38" s="51">
        <f t="shared" si="28"/>
        <v>0.81997598305646402</v>
      </c>
      <c r="AC38" s="51">
        <f t="shared" si="28"/>
        <v>0.81136138885165632</v>
      </c>
      <c r="AD38" s="51">
        <f t="shared" si="28"/>
        <v>0.80829240671671432</v>
      </c>
      <c r="AE38" s="51">
        <f t="shared" si="28"/>
        <v>0.81913577332686394</v>
      </c>
      <c r="AF38" s="51">
        <f t="shared" si="28"/>
        <v>0.81826433163857493</v>
      </c>
      <c r="AG38" s="51">
        <f t="shared" si="28"/>
        <v>0.80954953060118773</v>
      </c>
      <c r="AH38" s="51">
        <f t="shared" si="28"/>
        <v>0.80653241723098579</v>
      </c>
      <c r="AI38" s="51">
        <f t="shared" si="28"/>
        <v>0.81787210209473926</v>
      </c>
      <c r="AJ38" s="51">
        <f t="shared" si="28"/>
        <v>0.81653689505590921</v>
      </c>
      <c r="AK38" s="51">
        <f t="shared" si="28"/>
        <v>0.80774902390333914</v>
      </c>
    </row>
    <row r="39" spans="1:37" x14ac:dyDescent="0.45">
      <c r="A39" s="21"/>
      <c r="B39" s="22" t="s">
        <v>389</v>
      </c>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row>
    <row r="40" spans="1:37" x14ac:dyDescent="0.45">
      <c r="A40" s="12" t="s">
        <v>390</v>
      </c>
      <c r="B40" s="3" t="s">
        <v>391</v>
      </c>
      <c r="C40" s="12" t="s">
        <v>73</v>
      </c>
      <c r="E40" s="51">
        <f t="shared" ref="E40:W40" si="29">1-E41/E17</f>
        <v>0.59259259259259256</v>
      </c>
      <c r="F40" s="51">
        <f t="shared" si="29"/>
        <v>0.60317460317460325</v>
      </c>
      <c r="G40" s="51">
        <f t="shared" si="29"/>
        <v>0.64473684210526316</v>
      </c>
      <c r="H40" s="51">
        <f t="shared" si="29"/>
        <v>0.67777777777777781</v>
      </c>
      <c r="I40" s="51">
        <f t="shared" si="29"/>
        <v>0.67021276595744683</v>
      </c>
      <c r="J40" s="51">
        <f t="shared" si="29"/>
        <v>0.66355140186915884</v>
      </c>
      <c r="K40" s="51">
        <f t="shared" si="29"/>
        <v>0.6776859504132231</v>
      </c>
      <c r="L40" s="51">
        <f t="shared" si="29"/>
        <v>0.6717557251908397</v>
      </c>
      <c r="M40" s="51">
        <f t="shared" si="29"/>
        <v>0.6619718309859155</v>
      </c>
      <c r="N40" s="51">
        <f t="shared" si="29"/>
        <v>0.66887417218543044</v>
      </c>
      <c r="O40" s="51">
        <f t="shared" si="29"/>
        <v>0.68072289156626509</v>
      </c>
      <c r="P40" s="51">
        <f t="shared" si="29"/>
        <v>0.70370370370370372</v>
      </c>
      <c r="Q40" s="51">
        <f t="shared" si="29"/>
        <v>0.7</v>
      </c>
      <c r="R40" s="51">
        <f t="shared" si="29"/>
        <v>0.68421052631578949</v>
      </c>
      <c r="S40" s="51">
        <f t="shared" si="29"/>
        <v>0.7180616740088106</v>
      </c>
      <c r="T40" s="51">
        <f t="shared" si="29"/>
        <v>0.72540983606557374</v>
      </c>
      <c r="U40" s="51">
        <f t="shared" si="29"/>
        <v>0.73828125</v>
      </c>
      <c r="V40" s="51">
        <f t="shared" si="29"/>
        <v>0.77611940298507465</v>
      </c>
      <c r="W40" s="51">
        <f t="shared" si="29"/>
        <v>0.77931034482758621</v>
      </c>
      <c r="X40" s="15">
        <f>Drivers!X24</f>
        <v>0.77500000000000002</v>
      </c>
      <c r="Y40" s="15">
        <f>Drivers!Y24</f>
        <v>0.77500000000000002</v>
      </c>
      <c r="Z40" s="15">
        <f>Drivers!Z24</f>
        <v>0.78</v>
      </c>
      <c r="AA40" s="15">
        <f>Drivers!AA24</f>
        <v>0.78</v>
      </c>
      <c r="AB40" s="15">
        <f>Drivers!AB24</f>
        <v>0.78</v>
      </c>
      <c r="AC40" s="15">
        <f>Drivers!AC24</f>
        <v>0.78</v>
      </c>
      <c r="AD40" s="15">
        <f>Drivers!AD24</f>
        <v>0.78500000000000003</v>
      </c>
      <c r="AE40" s="15">
        <f>Drivers!AE24</f>
        <v>0.78500000000000003</v>
      </c>
      <c r="AF40" s="15">
        <f>Drivers!AF24</f>
        <v>0.78500000000000003</v>
      </c>
      <c r="AG40" s="15">
        <f>Drivers!AG24</f>
        <v>0.78500000000000003</v>
      </c>
      <c r="AH40" s="15">
        <f>Drivers!AH24</f>
        <v>0.78500000000000003</v>
      </c>
      <c r="AI40" s="15">
        <f>Drivers!AI24</f>
        <v>0.78500000000000003</v>
      </c>
      <c r="AJ40" s="15">
        <f>Drivers!AJ24</f>
        <v>0.78500000000000003</v>
      </c>
      <c r="AK40" s="15">
        <f>Drivers!AK24</f>
        <v>0.78500000000000003</v>
      </c>
    </row>
    <row r="41" spans="1:37" x14ac:dyDescent="0.45">
      <c r="A41" s="12" t="s">
        <v>392</v>
      </c>
      <c r="B41" s="3" t="s">
        <v>393</v>
      </c>
      <c r="C41" s="12" t="s">
        <v>70</v>
      </c>
      <c r="E41" s="13">
        <f>Hist_Q!E20</f>
        <v>22</v>
      </c>
      <c r="F41" s="13">
        <f>Hist_Q!F20</f>
        <v>25</v>
      </c>
      <c r="G41" s="13">
        <f>Hist_Q!G20</f>
        <v>27</v>
      </c>
      <c r="H41" s="13">
        <f>Hist_Q!H20</f>
        <v>29</v>
      </c>
      <c r="I41" s="13">
        <f>Hist_Q!I20</f>
        <v>31</v>
      </c>
      <c r="J41" s="13">
        <f>Hist_Q!J20</f>
        <v>36</v>
      </c>
      <c r="K41" s="13">
        <f>Hist_Q!K20</f>
        <v>39</v>
      </c>
      <c r="L41" s="13">
        <f>Hist_Q!L20</f>
        <v>43</v>
      </c>
      <c r="M41" s="13">
        <f>Hist_Q!M20</f>
        <v>48</v>
      </c>
      <c r="N41" s="13">
        <f>Hist_Q!N20</f>
        <v>50</v>
      </c>
      <c r="O41" s="13">
        <f>Hist_Q!O20</f>
        <v>53</v>
      </c>
      <c r="P41" s="13">
        <f>Hist_Q!P20</f>
        <v>56</v>
      </c>
      <c r="Q41" s="13">
        <f>Hist_Q!Q20</f>
        <v>60</v>
      </c>
      <c r="R41" s="13">
        <f>Hist_Q!R20</f>
        <v>66</v>
      </c>
      <c r="S41" s="13">
        <f>Hist_Q!S20</f>
        <v>64</v>
      </c>
      <c r="T41" s="13">
        <f>Hist_Q!T20</f>
        <v>67</v>
      </c>
      <c r="U41" s="13">
        <f>Hist_Q!U20</f>
        <v>67</v>
      </c>
      <c r="V41" s="13">
        <f>Hist_Q!V20</f>
        <v>60</v>
      </c>
      <c r="W41" s="13">
        <f>Hist_Q!W20</f>
        <v>64</v>
      </c>
      <c r="X41" s="50">
        <f t="shared" ref="X41:AK41" si="30">X17*(1-X40)</f>
        <v>69.477362867647059</v>
      </c>
      <c r="Y41" s="50">
        <f t="shared" si="30"/>
        <v>72.389731764705871</v>
      </c>
      <c r="Z41" s="50">
        <f t="shared" si="30"/>
        <v>73.323670588235288</v>
      </c>
      <c r="AA41" s="50">
        <f t="shared" si="30"/>
        <v>78.901835294117646</v>
      </c>
      <c r="AB41" s="50">
        <f t="shared" si="30"/>
        <v>83.553614682352929</v>
      </c>
      <c r="AC41" s="50">
        <f t="shared" si="30"/>
        <v>86.569629364705875</v>
      </c>
      <c r="AD41" s="50">
        <f t="shared" si="30"/>
        <v>86.754800752941165</v>
      </c>
      <c r="AE41" s="50">
        <f t="shared" si="30"/>
        <v>92.809466509803912</v>
      </c>
      <c r="AF41" s="50">
        <f t="shared" si="30"/>
        <v>97.71196421541174</v>
      </c>
      <c r="AG41" s="50">
        <f t="shared" si="30"/>
        <v>100.71931785882352</v>
      </c>
      <c r="AH41" s="50">
        <f t="shared" si="30"/>
        <v>102.32470640752938</v>
      </c>
      <c r="AI41" s="50">
        <f t="shared" si="30"/>
        <v>108.98586543843133</v>
      </c>
      <c r="AJ41" s="50">
        <f t="shared" si="30"/>
        <v>114.23868650917407</v>
      </c>
      <c r="AK41" s="50">
        <f t="shared" si="30"/>
        <v>117.29168580002823</v>
      </c>
    </row>
    <row r="42" spans="1:37" x14ac:dyDescent="0.45">
      <c r="A42" s="12" t="s">
        <v>394</v>
      </c>
      <c r="B42" s="4" t="s">
        <v>98</v>
      </c>
      <c r="C42" s="12" t="s">
        <v>70</v>
      </c>
      <c r="E42" s="49">
        <f t="shared" ref="E42:AK42" si="31">E17-E41</f>
        <v>32</v>
      </c>
      <c r="F42" s="49">
        <f t="shared" si="31"/>
        <v>38</v>
      </c>
      <c r="G42" s="49">
        <f t="shared" si="31"/>
        <v>49</v>
      </c>
      <c r="H42" s="49">
        <f t="shared" si="31"/>
        <v>61</v>
      </c>
      <c r="I42" s="49">
        <f t="shared" si="31"/>
        <v>63</v>
      </c>
      <c r="J42" s="49">
        <f t="shared" si="31"/>
        <v>71</v>
      </c>
      <c r="K42" s="49">
        <f t="shared" si="31"/>
        <v>82</v>
      </c>
      <c r="L42" s="49">
        <f t="shared" si="31"/>
        <v>88</v>
      </c>
      <c r="M42" s="49">
        <f t="shared" si="31"/>
        <v>94</v>
      </c>
      <c r="N42" s="49">
        <f t="shared" si="31"/>
        <v>101</v>
      </c>
      <c r="O42" s="49">
        <f t="shared" si="31"/>
        <v>113</v>
      </c>
      <c r="P42" s="49">
        <f t="shared" si="31"/>
        <v>133</v>
      </c>
      <c r="Q42" s="49">
        <f t="shared" si="31"/>
        <v>140</v>
      </c>
      <c r="R42" s="49">
        <f t="shared" si="31"/>
        <v>143</v>
      </c>
      <c r="S42" s="49">
        <f t="shared" si="31"/>
        <v>163</v>
      </c>
      <c r="T42" s="49">
        <f t="shared" si="31"/>
        <v>177</v>
      </c>
      <c r="U42" s="49">
        <f t="shared" si="31"/>
        <v>189</v>
      </c>
      <c r="V42" s="49">
        <f t="shared" si="31"/>
        <v>208</v>
      </c>
      <c r="W42" s="49">
        <f t="shared" si="31"/>
        <v>226</v>
      </c>
      <c r="X42" s="49">
        <f t="shared" si="31"/>
        <v>239.31091654411767</v>
      </c>
      <c r="Y42" s="49">
        <f t="shared" si="31"/>
        <v>249.34240941176472</v>
      </c>
      <c r="Z42" s="49">
        <f t="shared" si="31"/>
        <v>259.9657411764706</v>
      </c>
      <c r="AA42" s="49">
        <f t="shared" si="31"/>
        <v>279.74287058823535</v>
      </c>
      <c r="AB42" s="49">
        <f t="shared" si="31"/>
        <v>296.23554296470587</v>
      </c>
      <c r="AC42" s="49">
        <f t="shared" si="31"/>
        <v>306.92868592941181</v>
      </c>
      <c r="AD42" s="49">
        <f t="shared" si="31"/>
        <v>316.75590042352945</v>
      </c>
      <c r="AE42" s="49">
        <f t="shared" si="31"/>
        <v>338.86247074509811</v>
      </c>
      <c r="AF42" s="49">
        <f t="shared" si="31"/>
        <v>356.76228794929409</v>
      </c>
      <c r="AG42" s="49">
        <f t="shared" si="31"/>
        <v>367.74262567058827</v>
      </c>
      <c r="AH42" s="49">
        <f t="shared" si="31"/>
        <v>373.60416060423523</v>
      </c>
      <c r="AI42" s="49">
        <f t="shared" si="31"/>
        <v>397.92513660078424</v>
      </c>
      <c r="AJ42" s="49">
        <f t="shared" si="31"/>
        <v>417.10404144047288</v>
      </c>
      <c r="AK42" s="49">
        <f t="shared" si="31"/>
        <v>428.25103885126595</v>
      </c>
    </row>
    <row r="43" spans="1:37" x14ac:dyDescent="0.45">
      <c r="A43" s="12" t="s">
        <v>395</v>
      </c>
      <c r="B43" s="3" t="s">
        <v>396</v>
      </c>
      <c r="C43" s="12" t="s">
        <v>70</v>
      </c>
      <c r="E43" s="13">
        <f>Hist_Q!E21</f>
        <v>341</v>
      </c>
      <c r="F43" s="13">
        <f>Hist_Q!F21</f>
        <v>347</v>
      </c>
      <c r="G43" s="13">
        <f>Hist_Q!G21</f>
        <v>448</v>
      </c>
      <c r="H43" s="13">
        <f>Hist_Q!H21</f>
        <v>494</v>
      </c>
      <c r="I43" s="13">
        <f>Hist_Q!I21</f>
        <v>503</v>
      </c>
      <c r="J43" s="13">
        <f>Hist_Q!J21</f>
        <v>523</v>
      </c>
      <c r="K43" s="13">
        <f>Hist_Q!K21</f>
        <v>631</v>
      </c>
      <c r="L43" s="13">
        <f>Hist_Q!L21</f>
        <v>674</v>
      </c>
      <c r="M43" s="13">
        <f>Hist_Q!M21</f>
        <v>675</v>
      </c>
      <c r="N43" s="13">
        <f>Hist_Q!N21</f>
        <v>683</v>
      </c>
      <c r="O43" s="13">
        <f>Hist_Q!O21</f>
        <v>806</v>
      </c>
      <c r="P43" s="13">
        <f>Hist_Q!P21</f>
        <v>835</v>
      </c>
      <c r="Q43" s="13">
        <f>Hist_Q!Q21</f>
        <v>852</v>
      </c>
      <c r="R43" s="13">
        <f>Hist_Q!R21</f>
        <v>831</v>
      </c>
      <c r="S43" s="13">
        <f>Hist_Q!S21</f>
        <v>992</v>
      </c>
      <c r="T43" s="13">
        <f>Hist_Q!T21</f>
        <v>1032</v>
      </c>
      <c r="U43" s="13">
        <f>Hist_Q!U21</f>
        <v>1036</v>
      </c>
      <c r="V43" s="13">
        <f>Hist_Q!V21</f>
        <v>1011</v>
      </c>
      <c r="W43" s="13">
        <f>Hist_Q!W21</f>
        <v>1211</v>
      </c>
      <c r="X43" s="50">
        <f t="shared" ref="X43:AK43" si="32">X23*MnPerBn*X29</f>
        <v>1246.6362499080885</v>
      </c>
      <c r="Y43" s="50">
        <f t="shared" si="32"/>
        <v>1242.7879901029412</v>
      </c>
      <c r="Z43" s="50">
        <f t="shared" si="32"/>
        <v>1205.9465780070236</v>
      </c>
      <c r="AA43" s="50">
        <f t="shared" si="32"/>
        <v>1436.4396199547509</v>
      </c>
      <c r="AB43" s="50">
        <f t="shared" si="32"/>
        <v>1470.5873954791023</v>
      </c>
      <c r="AC43" s="50">
        <f t="shared" si="32"/>
        <v>1457.835682293934</v>
      </c>
      <c r="AD43" s="50">
        <f t="shared" si="32"/>
        <v>1414.2263603336264</v>
      </c>
      <c r="AE43" s="50">
        <f t="shared" si="32"/>
        <v>1674.637328295626</v>
      </c>
      <c r="AF43" s="50">
        <f t="shared" si="32"/>
        <v>1704.4886981746326</v>
      </c>
      <c r="AG43" s="50">
        <f t="shared" si="32"/>
        <v>1681.0103098965992</v>
      </c>
      <c r="AH43" s="50">
        <f t="shared" si="32"/>
        <v>1623.5422495258999</v>
      </c>
      <c r="AI43" s="50">
        <f t="shared" si="32"/>
        <v>1914.0051112803753</v>
      </c>
      <c r="AJ43" s="50">
        <f t="shared" si="32"/>
        <v>1939.5304836168734</v>
      </c>
      <c r="AK43" s="50">
        <f t="shared" si="32"/>
        <v>1905.2662923055148</v>
      </c>
    </row>
    <row r="44" spans="1:37" x14ac:dyDescent="0.45">
      <c r="A44" s="12" t="s">
        <v>397</v>
      </c>
      <c r="B44" s="3" t="s">
        <v>398</v>
      </c>
      <c r="C44" s="12" t="s">
        <v>73</v>
      </c>
      <c r="E44" s="51">
        <f t="shared" ref="E44:AK44" si="33">1-E43/E27</f>
        <v>0.19002375296912111</v>
      </c>
      <c r="F44" s="51">
        <f t="shared" si="33"/>
        <v>0.20776255707762559</v>
      </c>
      <c r="G44" s="51">
        <f t="shared" si="33"/>
        <v>0.20284697508896798</v>
      </c>
      <c r="H44" s="51">
        <f t="shared" si="33"/>
        <v>0.2133757961783439</v>
      </c>
      <c r="I44" s="51">
        <f t="shared" si="33"/>
        <v>0.21406250000000004</v>
      </c>
      <c r="J44" s="51">
        <f t="shared" si="33"/>
        <v>0.22288261515601782</v>
      </c>
      <c r="K44" s="51">
        <f t="shared" si="33"/>
        <v>0.21905940594059403</v>
      </c>
      <c r="L44" s="51">
        <f t="shared" si="33"/>
        <v>0.21261682242990654</v>
      </c>
      <c r="M44" s="51">
        <f t="shared" si="33"/>
        <v>0.2068155111633373</v>
      </c>
      <c r="N44" s="51">
        <f t="shared" si="33"/>
        <v>0.21764032073310424</v>
      </c>
      <c r="O44" s="51">
        <f t="shared" si="33"/>
        <v>0.21212121212121215</v>
      </c>
      <c r="P44" s="51">
        <f t="shared" si="33"/>
        <v>0.21743205248359887</v>
      </c>
      <c r="Q44" s="51">
        <f t="shared" si="33"/>
        <v>0.21834862385321097</v>
      </c>
      <c r="R44" s="51">
        <f t="shared" si="33"/>
        <v>0.23197781885397417</v>
      </c>
      <c r="S44" s="51">
        <f t="shared" si="33"/>
        <v>0.22257053291536055</v>
      </c>
      <c r="T44" s="51">
        <f t="shared" si="33"/>
        <v>0.23271375464684019</v>
      </c>
      <c r="U44" s="51">
        <f t="shared" si="33"/>
        <v>0.22338830584707647</v>
      </c>
      <c r="V44" s="51">
        <f t="shared" si="33"/>
        <v>0.23582766439909297</v>
      </c>
      <c r="W44" s="51">
        <f t="shared" si="33"/>
        <v>0.22866242038216555</v>
      </c>
      <c r="X44" s="51">
        <f t="shared" si="33"/>
        <v>0.23664502324208636</v>
      </c>
      <c r="Y44" s="51">
        <f t="shared" si="33"/>
        <v>0.22741541940667109</v>
      </c>
      <c r="Z44" s="51">
        <f t="shared" si="33"/>
        <v>0.23831907386741524</v>
      </c>
      <c r="AA44" s="51">
        <f t="shared" si="33"/>
        <v>0.23118791973934594</v>
      </c>
      <c r="AB44" s="51">
        <f t="shared" si="33"/>
        <v>0.23908218851451712</v>
      </c>
      <c r="AC44" s="51">
        <f t="shared" si="33"/>
        <v>0.22992033964748249</v>
      </c>
      <c r="AD44" s="51">
        <f t="shared" si="33"/>
        <v>0.23932401325023844</v>
      </c>
      <c r="AE44" s="51">
        <f t="shared" si="33"/>
        <v>0.23221726307820878</v>
      </c>
      <c r="AF44" s="51">
        <f t="shared" si="33"/>
        <v>0.24006431925740457</v>
      </c>
      <c r="AG44" s="51">
        <f t="shared" si="33"/>
        <v>0.23094324051491011</v>
      </c>
      <c r="AH44" s="51">
        <f t="shared" si="33"/>
        <v>0.24032126357707739</v>
      </c>
      <c r="AI44" s="51">
        <f t="shared" si="33"/>
        <v>0.23323875330323096</v>
      </c>
      <c r="AJ44" s="51">
        <f t="shared" si="33"/>
        <v>0.24103908397502383</v>
      </c>
      <c r="AK44" s="51">
        <f t="shared" si="33"/>
        <v>0.23195842233918373</v>
      </c>
    </row>
    <row r="45" spans="1:37" x14ac:dyDescent="0.45">
      <c r="A45" s="12" t="s">
        <v>399</v>
      </c>
      <c r="B45" s="4" t="s">
        <v>99</v>
      </c>
      <c r="C45" s="12" t="s">
        <v>70</v>
      </c>
      <c r="E45" s="49">
        <f t="shared" ref="E45:AK45" si="34">E27-E43</f>
        <v>80</v>
      </c>
      <c r="F45" s="49">
        <f t="shared" si="34"/>
        <v>91</v>
      </c>
      <c r="G45" s="49">
        <f t="shared" si="34"/>
        <v>114</v>
      </c>
      <c r="H45" s="49">
        <f t="shared" si="34"/>
        <v>134</v>
      </c>
      <c r="I45" s="49">
        <f t="shared" si="34"/>
        <v>137</v>
      </c>
      <c r="J45" s="49">
        <f t="shared" si="34"/>
        <v>150</v>
      </c>
      <c r="K45" s="49">
        <f t="shared" si="34"/>
        <v>177</v>
      </c>
      <c r="L45" s="49">
        <f t="shared" si="34"/>
        <v>182</v>
      </c>
      <c r="M45" s="49">
        <f t="shared" si="34"/>
        <v>176</v>
      </c>
      <c r="N45" s="49">
        <f t="shared" si="34"/>
        <v>190</v>
      </c>
      <c r="O45" s="49">
        <f t="shared" si="34"/>
        <v>217</v>
      </c>
      <c r="P45" s="49">
        <f t="shared" si="34"/>
        <v>232</v>
      </c>
      <c r="Q45" s="49">
        <f t="shared" si="34"/>
        <v>238</v>
      </c>
      <c r="R45" s="49">
        <f t="shared" si="34"/>
        <v>251</v>
      </c>
      <c r="S45" s="49">
        <f t="shared" si="34"/>
        <v>284</v>
      </c>
      <c r="T45" s="49">
        <f t="shared" si="34"/>
        <v>313</v>
      </c>
      <c r="U45" s="49">
        <f t="shared" si="34"/>
        <v>298</v>
      </c>
      <c r="V45" s="49">
        <f t="shared" si="34"/>
        <v>312</v>
      </c>
      <c r="W45" s="49">
        <f t="shared" si="34"/>
        <v>359</v>
      </c>
      <c r="X45" s="49">
        <f t="shared" si="34"/>
        <v>386.46537104779372</v>
      </c>
      <c r="Y45" s="49">
        <f t="shared" si="34"/>
        <v>365.82292619117629</v>
      </c>
      <c r="Z45" s="49">
        <f t="shared" si="34"/>
        <v>377.32344574187891</v>
      </c>
      <c r="AA45" s="49">
        <f t="shared" si="34"/>
        <v>431.94884171945682</v>
      </c>
      <c r="AB45" s="49">
        <f t="shared" si="34"/>
        <v>462.06206190208923</v>
      </c>
      <c r="AC45" s="49">
        <f t="shared" si="34"/>
        <v>435.26156121277563</v>
      </c>
      <c r="AD45" s="49">
        <f t="shared" si="34"/>
        <v>444.94414717295854</v>
      </c>
      <c r="AE45" s="49">
        <f t="shared" si="34"/>
        <v>506.49705746773861</v>
      </c>
      <c r="AF45" s="49">
        <f t="shared" si="34"/>
        <v>538.44941009926379</v>
      </c>
      <c r="AG45" s="49">
        <f t="shared" si="34"/>
        <v>504.79755039981592</v>
      </c>
      <c r="AH45" s="49">
        <f t="shared" si="34"/>
        <v>513.60095546970979</v>
      </c>
      <c r="AI45" s="49">
        <f t="shared" si="34"/>
        <v>582.2153478598957</v>
      </c>
      <c r="AJ45" s="49">
        <f t="shared" si="34"/>
        <v>615.97724104314921</v>
      </c>
      <c r="AK45" s="49">
        <f t="shared" si="34"/>
        <v>575.41489439310612</v>
      </c>
    </row>
    <row r="46" spans="1:37" x14ac:dyDescent="0.45">
      <c r="A46" s="12" t="s">
        <v>400</v>
      </c>
      <c r="B46" s="3" t="s">
        <v>401</v>
      </c>
      <c r="C46" s="12" t="s">
        <v>183</v>
      </c>
      <c r="E46" s="54">
        <f t="shared" ref="E46:AK46" si="35">E45/(E23*MnPerBn)*BpsPerUnit</f>
        <v>46.783625730994153</v>
      </c>
      <c r="F46" s="54">
        <f t="shared" si="35"/>
        <v>51.123595505617978</v>
      </c>
      <c r="G46" s="54">
        <f t="shared" si="35"/>
        <v>48.927038626609445</v>
      </c>
      <c r="H46" s="54">
        <f t="shared" si="35"/>
        <v>53.17460317460317</v>
      </c>
      <c r="I46" s="54">
        <f t="shared" si="35"/>
        <v>53.725490196078432</v>
      </c>
      <c r="J46" s="54">
        <f t="shared" si="35"/>
        <v>56.179775280898873</v>
      </c>
      <c r="K46" s="54">
        <f t="shared" si="35"/>
        <v>55.140186915887853</v>
      </c>
      <c r="L46" s="54">
        <f t="shared" si="35"/>
        <v>54.005934718100889</v>
      </c>
      <c r="M46" s="54">
        <f t="shared" si="35"/>
        <v>52.225519287833826</v>
      </c>
      <c r="N46" s="54">
        <f t="shared" si="35"/>
        <v>54.755043227665702</v>
      </c>
      <c r="O46" s="54">
        <f t="shared" si="35"/>
        <v>53.580246913580247</v>
      </c>
      <c r="P46" s="54">
        <f t="shared" si="35"/>
        <v>55.635491606714631</v>
      </c>
      <c r="Q46" s="54">
        <f t="shared" si="35"/>
        <v>56.398104265402843</v>
      </c>
      <c r="R46" s="54">
        <f t="shared" si="35"/>
        <v>59.478672985781991</v>
      </c>
      <c r="S46" s="54">
        <f t="shared" si="35"/>
        <v>56.913827655310619</v>
      </c>
      <c r="T46" s="54">
        <f t="shared" si="35"/>
        <v>60.776699029126213</v>
      </c>
      <c r="U46" s="54">
        <f t="shared" si="35"/>
        <v>57.976653696498055</v>
      </c>
      <c r="V46" s="54">
        <f t="shared" si="35"/>
        <v>60.818713450292393</v>
      </c>
      <c r="W46" s="54">
        <f t="shared" si="35"/>
        <v>59.143327841845135</v>
      </c>
      <c r="X46" s="54">
        <f t="shared" si="35"/>
        <v>62.276699029126142</v>
      </c>
      <c r="Y46" s="54">
        <f t="shared" si="35"/>
        <v>59.476653696498026</v>
      </c>
      <c r="Z46" s="54">
        <f t="shared" si="35"/>
        <v>61.818713450292407</v>
      </c>
      <c r="AA46" s="54">
        <f t="shared" si="35"/>
        <v>60.143327841845121</v>
      </c>
      <c r="AB46" s="54">
        <f t="shared" si="35"/>
        <v>63.276699029126149</v>
      </c>
      <c r="AC46" s="54">
        <f t="shared" si="35"/>
        <v>60.476653696498033</v>
      </c>
      <c r="AD46" s="54">
        <f t="shared" si="35"/>
        <v>62.318713450292357</v>
      </c>
      <c r="AE46" s="54">
        <f t="shared" si="35"/>
        <v>60.643327841845078</v>
      </c>
      <c r="AF46" s="54">
        <f t="shared" si="35"/>
        <v>63.776699029126121</v>
      </c>
      <c r="AG46" s="54">
        <f t="shared" si="35"/>
        <v>60.976653696498033</v>
      </c>
      <c r="AH46" s="54">
        <f t="shared" si="35"/>
        <v>62.81871345029235</v>
      </c>
      <c r="AI46" s="54">
        <f t="shared" si="35"/>
        <v>61.143327841845114</v>
      </c>
      <c r="AJ46" s="54">
        <f t="shared" si="35"/>
        <v>64.276699029126121</v>
      </c>
      <c r="AK46" s="54">
        <f t="shared" si="35"/>
        <v>61.476653696498012</v>
      </c>
    </row>
    <row r="47" spans="1:37" x14ac:dyDescent="0.45">
      <c r="A47" s="12" t="s">
        <v>402</v>
      </c>
      <c r="B47" s="57" t="s">
        <v>403</v>
      </c>
      <c r="C47" s="12" t="s">
        <v>70</v>
      </c>
      <c r="J47" s="13">
        <f>IF(Hist_Q!J84=0,"",Hist_Q!J84)</f>
        <v>124</v>
      </c>
      <c r="K47" s="13">
        <f>IF(Hist_Q!K84=0,"",Hist_Q!K84)</f>
        <v>145</v>
      </c>
      <c r="L47" s="13">
        <f>IF(Hist_Q!L84=0,"",Hist_Q!L84)</f>
        <v>148</v>
      </c>
      <c r="M47" s="13">
        <f>IF(Hist_Q!M84=0,"",Hist_Q!M84)</f>
        <v>142</v>
      </c>
      <c r="N47" s="13">
        <f>IF(Hist_Q!N84=0,"",Hist_Q!N84)</f>
        <v>156</v>
      </c>
      <c r="O47" s="13">
        <f>IF(Hist_Q!O84=0,"",Hist_Q!O84)</f>
        <v>183</v>
      </c>
      <c r="P47" s="13">
        <f>IF(Hist_Q!P84=0,"",Hist_Q!P84)</f>
        <v>189</v>
      </c>
      <c r="Q47" s="13">
        <f>IF(Hist_Q!Q84=0,"",Hist_Q!Q84)</f>
        <v>195</v>
      </c>
      <c r="R47" s="13">
        <f>IF(Hist_Q!R84=0,"",Hist_Q!R84)</f>
        <v>204</v>
      </c>
      <c r="S47" s="13">
        <f>IF(Hist_Q!S84=0,"",Hist_Q!S84)</f>
        <v>244</v>
      </c>
      <c r="T47" s="13">
        <f>IF(Hist_Q!T84=0,"",Hist_Q!T84)</f>
        <v>255</v>
      </c>
      <c r="U47" s="13">
        <f>IF(Hist_Q!U84=0,"",Hist_Q!U84)</f>
        <v>247</v>
      </c>
      <c r="V47" s="13">
        <f>IF(Hist_Q!V84=0,"",Hist_Q!V84)</f>
        <v>261</v>
      </c>
      <c r="W47" s="13">
        <f>IF(Hist_Q!W84=0,"",Hist_Q!W84)</f>
        <v>302</v>
      </c>
    </row>
    <row r="48" spans="1:37" x14ac:dyDescent="0.45">
      <c r="A48" s="12" t="s">
        <v>404</v>
      </c>
      <c r="B48" s="57" t="s">
        <v>405</v>
      </c>
      <c r="C48" s="12" t="s">
        <v>183</v>
      </c>
      <c r="J48" s="54">
        <f t="shared" ref="J48:W48" si="36">IF(J47="","",J47/(J23*MnPerBn)*BpsPerUnit)</f>
        <v>46.441947565543067</v>
      </c>
      <c r="K48" s="54">
        <f t="shared" si="36"/>
        <v>45.171339563862929</v>
      </c>
      <c r="L48" s="54">
        <f t="shared" si="36"/>
        <v>43.916913946587542</v>
      </c>
      <c r="M48" s="54">
        <f t="shared" si="36"/>
        <v>42.136498516320479</v>
      </c>
      <c r="N48" s="54">
        <f t="shared" si="36"/>
        <v>44.956772334293944</v>
      </c>
      <c r="O48" s="54">
        <f t="shared" si="36"/>
        <v>45.18518518518519</v>
      </c>
      <c r="P48" s="54">
        <f t="shared" si="36"/>
        <v>45.323741007194243</v>
      </c>
      <c r="Q48" s="54">
        <f t="shared" si="36"/>
        <v>46.208530805687204</v>
      </c>
      <c r="R48" s="54">
        <f t="shared" si="36"/>
        <v>48.341232227488149</v>
      </c>
      <c r="S48" s="54">
        <f t="shared" si="36"/>
        <v>48.897795591182366</v>
      </c>
      <c r="T48" s="54">
        <f t="shared" si="36"/>
        <v>49.514563106796111</v>
      </c>
      <c r="U48" s="54">
        <f t="shared" si="36"/>
        <v>48.054474708171206</v>
      </c>
      <c r="V48" s="54">
        <f t="shared" si="36"/>
        <v>50.877192982456144</v>
      </c>
      <c r="W48" s="54">
        <f t="shared" si="36"/>
        <v>49.752883031301479</v>
      </c>
    </row>
    <row r="49" spans="1:37" x14ac:dyDescent="0.45">
      <c r="A49" s="12" t="s">
        <v>406</v>
      </c>
      <c r="B49" s="3" t="s">
        <v>407</v>
      </c>
      <c r="C49" s="12" t="s">
        <v>193</v>
      </c>
      <c r="F49" s="55">
        <f t="shared" ref="F49:W49" si="37">F50/F11*Thousand</f>
        <v>14.6</v>
      </c>
      <c r="G49" s="55">
        <f t="shared" si="37"/>
        <v>14.333333333333334</v>
      </c>
      <c r="H49" s="55">
        <f t="shared" si="37"/>
        <v>12.833333333333334</v>
      </c>
      <c r="I49" s="55">
        <f t="shared" si="37"/>
        <v>15</v>
      </c>
      <c r="J49" s="55">
        <f t="shared" si="37"/>
        <v>14.166666666666666</v>
      </c>
      <c r="K49" s="55">
        <f t="shared" si="37"/>
        <v>12.375</v>
      </c>
      <c r="L49" s="55">
        <f t="shared" si="37"/>
        <v>14.666666666666666</v>
      </c>
      <c r="M49" s="55">
        <f t="shared" si="37"/>
        <v>12.285714285714285</v>
      </c>
      <c r="N49" s="55">
        <f t="shared" si="37"/>
        <v>15.333333333333332</v>
      </c>
      <c r="O49" s="55">
        <f t="shared" si="37"/>
        <v>12</v>
      </c>
      <c r="P49" s="55">
        <f t="shared" si="37"/>
        <v>13</v>
      </c>
      <c r="Q49" s="55">
        <f t="shared" si="37"/>
        <v>13.142857142857144</v>
      </c>
      <c r="R49" s="55">
        <f t="shared" si="37"/>
        <v>15.5</v>
      </c>
      <c r="S49" s="55">
        <f t="shared" si="37"/>
        <v>12.625</v>
      </c>
      <c r="T49" s="55">
        <f t="shared" si="37"/>
        <v>12.625</v>
      </c>
      <c r="U49" s="55">
        <f t="shared" si="37"/>
        <v>13.125</v>
      </c>
      <c r="V49" s="55">
        <f t="shared" si="37"/>
        <v>15.857142857142858</v>
      </c>
      <c r="W49" s="55">
        <f t="shared" si="37"/>
        <v>12.888888888888889</v>
      </c>
      <c r="X49" s="37">
        <f>Drivers!X30</f>
        <v>13.5</v>
      </c>
      <c r="Y49" s="37">
        <f>Drivers!Y30</f>
        <v>13.5</v>
      </c>
      <c r="Z49" s="37">
        <f>Drivers!Z30</f>
        <v>13.3</v>
      </c>
      <c r="AA49" s="37">
        <f>Drivers!AA30</f>
        <v>13.3</v>
      </c>
      <c r="AB49" s="37">
        <f>Drivers!AB30</f>
        <v>13.3</v>
      </c>
      <c r="AC49" s="37">
        <f>Drivers!AC30</f>
        <v>13.3</v>
      </c>
      <c r="AD49" s="37">
        <f>Drivers!AD30</f>
        <v>13.1</v>
      </c>
      <c r="AE49" s="37">
        <f>Drivers!AE30</f>
        <v>13.1</v>
      </c>
      <c r="AF49" s="37">
        <f>Drivers!AF30</f>
        <v>13.1</v>
      </c>
      <c r="AG49" s="37">
        <f>Drivers!AG30</f>
        <v>13.1</v>
      </c>
      <c r="AH49" s="37">
        <f>Drivers!AH30</f>
        <v>12.9</v>
      </c>
      <c r="AI49" s="37">
        <f>Drivers!AI30</f>
        <v>12.9</v>
      </c>
      <c r="AJ49" s="37">
        <f>Drivers!AJ30</f>
        <v>12.9</v>
      </c>
      <c r="AK49" s="37">
        <f>Drivers!AK30</f>
        <v>12.9</v>
      </c>
    </row>
    <row r="50" spans="1:37" x14ac:dyDescent="0.45">
      <c r="A50" s="12" t="s">
        <v>408</v>
      </c>
      <c r="B50" s="3" t="s">
        <v>409</v>
      </c>
      <c r="C50" s="12" t="s">
        <v>70</v>
      </c>
      <c r="E50" s="13">
        <f>Hist_Q!E36</f>
        <v>75</v>
      </c>
      <c r="F50" s="13">
        <f>Hist_Q!F36</f>
        <v>73</v>
      </c>
      <c r="G50" s="13">
        <f>Hist_Q!G36</f>
        <v>86</v>
      </c>
      <c r="H50" s="13">
        <f>Hist_Q!H36</f>
        <v>77</v>
      </c>
      <c r="I50" s="13">
        <f>Hist_Q!I36</f>
        <v>75</v>
      </c>
      <c r="J50" s="13">
        <f>Hist_Q!J36</f>
        <v>85</v>
      </c>
      <c r="K50" s="13">
        <f>Hist_Q!K36</f>
        <v>99</v>
      </c>
      <c r="L50" s="13">
        <f>Hist_Q!L36</f>
        <v>88</v>
      </c>
      <c r="M50" s="13">
        <f>Hist_Q!M36</f>
        <v>86</v>
      </c>
      <c r="N50" s="13">
        <f>Hist_Q!N36</f>
        <v>92</v>
      </c>
      <c r="O50" s="13">
        <f>Hist_Q!O36</f>
        <v>96</v>
      </c>
      <c r="P50" s="13">
        <f>Hist_Q!P36</f>
        <v>91</v>
      </c>
      <c r="Q50" s="13">
        <f>Hist_Q!Q36</f>
        <v>92</v>
      </c>
      <c r="R50" s="13">
        <f>Hist_Q!R36</f>
        <v>93</v>
      </c>
      <c r="S50" s="13">
        <f>Hist_Q!S36</f>
        <v>101</v>
      </c>
      <c r="T50" s="13">
        <f>Hist_Q!T36</f>
        <v>101</v>
      </c>
      <c r="U50" s="13">
        <f>Hist_Q!U36</f>
        <v>105</v>
      </c>
      <c r="V50" s="13">
        <f>Hist_Q!V36</f>
        <v>111</v>
      </c>
      <c r="W50" s="13">
        <f>Hist_Q!W36</f>
        <v>116</v>
      </c>
      <c r="X50" s="50">
        <f t="shared" ref="X50:AK50" si="38">X33*X49/Thousand</f>
        <v>110.06470588235294</v>
      </c>
      <c r="Y50" s="50">
        <f t="shared" si="38"/>
        <v>115.30588235294118</v>
      </c>
      <c r="Z50" s="50">
        <f t="shared" si="38"/>
        <v>95.76</v>
      </c>
      <c r="AA50" s="50">
        <f t="shared" si="38"/>
        <v>127.68</v>
      </c>
      <c r="AB50" s="50">
        <f t="shared" si="38"/>
        <v>111.72</v>
      </c>
      <c r="AC50" s="50">
        <f t="shared" si="38"/>
        <v>117.04</v>
      </c>
      <c r="AD50" s="50">
        <f t="shared" si="38"/>
        <v>94.32</v>
      </c>
      <c r="AE50" s="50">
        <f t="shared" si="38"/>
        <v>125.76</v>
      </c>
      <c r="AF50" s="50">
        <f t="shared" si="38"/>
        <v>110.04</v>
      </c>
      <c r="AG50" s="50">
        <f t="shared" si="38"/>
        <v>115.28</v>
      </c>
      <c r="AH50" s="50">
        <f t="shared" si="38"/>
        <v>92.88</v>
      </c>
      <c r="AI50" s="50">
        <f t="shared" si="38"/>
        <v>123.84</v>
      </c>
      <c r="AJ50" s="50">
        <f t="shared" si="38"/>
        <v>108.36</v>
      </c>
      <c r="AK50" s="50">
        <f t="shared" si="38"/>
        <v>113.52</v>
      </c>
    </row>
    <row r="51" spans="1:37" x14ac:dyDescent="0.45">
      <c r="A51" s="12" t="s">
        <v>410</v>
      </c>
      <c r="B51" s="4" t="s">
        <v>411</v>
      </c>
      <c r="C51" s="12" t="s">
        <v>70</v>
      </c>
      <c r="E51" s="49">
        <f t="shared" ref="E51:AK51" si="39">E34-E50</f>
        <v>-38</v>
      </c>
      <c r="F51" s="49">
        <f t="shared" si="39"/>
        <v>-39</v>
      </c>
      <c r="G51" s="49">
        <f t="shared" si="39"/>
        <v>-49</v>
      </c>
      <c r="H51" s="49">
        <f t="shared" si="39"/>
        <v>-43</v>
      </c>
      <c r="I51" s="49">
        <f t="shared" si="39"/>
        <v>-41</v>
      </c>
      <c r="J51" s="49">
        <f t="shared" si="39"/>
        <v>-46</v>
      </c>
      <c r="K51" s="49">
        <f t="shared" si="39"/>
        <v>-50</v>
      </c>
      <c r="L51" s="49">
        <f t="shared" si="39"/>
        <v>-43</v>
      </c>
      <c r="M51" s="49">
        <f t="shared" si="39"/>
        <v>-43</v>
      </c>
      <c r="N51" s="49">
        <f t="shared" si="39"/>
        <v>-41</v>
      </c>
      <c r="O51" s="49">
        <f t="shared" si="39"/>
        <v>-43</v>
      </c>
      <c r="P51" s="49">
        <f t="shared" si="39"/>
        <v>-42</v>
      </c>
      <c r="Q51" s="49">
        <f t="shared" si="39"/>
        <v>-44</v>
      </c>
      <c r="R51" s="49">
        <f t="shared" si="39"/>
        <v>-47</v>
      </c>
      <c r="S51" s="49">
        <f t="shared" si="39"/>
        <v>-54</v>
      </c>
      <c r="T51" s="49">
        <f t="shared" si="39"/>
        <v>-57</v>
      </c>
      <c r="U51" s="49">
        <f t="shared" si="39"/>
        <v>-62</v>
      </c>
      <c r="V51" s="49">
        <f t="shared" si="39"/>
        <v>-72</v>
      </c>
      <c r="W51" s="49">
        <f t="shared" si="39"/>
        <v>-68</v>
      </c>
      <c r="X51" s="49">
        <f t="shared" si="39"/>
        <v>-66.038823529411758</v>
      </c>
      <c r="Y51" s="49">
        <f t="shared" si="39"/>
        <v>-69.183529411764709</v>
      </c>
      <c r="Z51" s="49">
        <f t="shared" si="39"/>
        <v>-57.600000000000009</v>
      </c>
      <c r="AA51" s="49">
        <f t="shared" si="39"/>
        <v>-76.800000000000011</v>
      </c>
      <c r="AB51" s="49">
        <f t="shared" si="39"/>
        <v>-67.199999999999989</v>
      </c>
      <c r="AC51" s="49">
        <f t="shared" si="39"/>
        <v>-70.400000000000006</v>
      </c>
      <c r="AD51" s="49">
        <f t="shared" si="39"/>
        <v>-56.879999999999995</v>
      </c>
      <c r="AE51" s="49">
        <f t="shared" si="39"/>
        <v>-75.84</v>
      </c>
      <c r="AF51" s="49">
        <f t="shared" si="39"/>
        <v>-66.360000000000014</v>
      </c>
      <c r="AG51" s="49">
        <f t="shared" si="39"/>
        <v>-69.52000000000001</v>
      </c>
      <c r="AH51" s="49">
        <f t="shared" si="39"/>
        <v>-56.16</v>
      </c>
      <c r="AI51" s="49">
        <f t="shared" si="39"/>
        <v>-74.88</v>
      </c>
      <c r="AJ51" s="49">
        <f t="shared" si="39"/>
        <v>-65.52</v>
      </c>
      <c r="AK51" s="49">
        <f t="shared" si="39"/>
        <v>-68.639999999999986</v>
      </c>
    </row>
    <row r="52" spans="1:37" x14ac:dyDescent="0.45">
      <c r="A52" s="12" t="s">
        <v>412</v>
      </c>
      <c r="B52" s="3" t="s">
        <v>216</v>
      </c>
      <c r="C52" s="12" t="s">
        <v>70</v>
      </c>
      <c r="I52" s="13">
        <f>Hist_Q!I80-I51</f>
        <v>6</v>
      </c>
      <c r="J52" s="13">
        <f>Hist_Q!J80-J51</f>
        <v>6</v>
      </c>
      <c r="K52" s="13">
        <f>Hist_Q!K80-K51</f>
        <v>8</v>
      </c>
      <c r="L52" s="13">
        <f>Hist_Q!L80-L51</f>
        <v>7</v>
      </c>
      <c r="M52" s="13">
        <f>Hist_Q!M80-M51</f>
        <v>7</v>
      </c>
      <c r="N52" s="13">
        <f>Hist_Q!N80-N51</f>
        <v>6</v>
      </c>
      <c r="O52" s="13">
        <f>Hist_Q!O80-O51</f>
        <v>7</v>
      </c>
      <c r="P52" s="13">
        <f>Hist_Q!P80-P51</f>
        <v>6</v>
      </c>
      <c r="Q52" s="13">
        <f>Hist_Q!Q80-Q51</f>
        <v>6</v>
      </c>
      <c r="R52" s="13">
        <f>Hist_Q!R80-R51</f>
        <v>6</v>
      </c>
      <c r="S52" s="13">
        <f>Hist_Q!S80-S51</f>
        <v>6</v>
      </c>
      <c r="T52" s="13">
        <f>Hist_Q!T80-T51</f>
        <v>6</v>
      </c>
      <c r="U52" s="13">
        <f>Hist_Q!U80-U51</f>
        <v>5</v>
      </c>
      <c r="V52" s="13">
        <f>Hist_Q!V80-V51</f>
        <v>4</v>
      </c>
      <c r="W52" s="13">
        <f>Hist_Q!W80-W51</f>
        <v>4</v>
      </c>
      <c r="X52" s="13">
        <f>Drivers!X31</f>
        <v>4.75</v>
      </c>
      <c r="Y52" s="13">
        <f>Drivers!Y31</f>
        <v>4.75</v>
      </c>
      <c r="Z52" s="13">
        <f>Drivers!Z31</f>
        <v>4.75</v>
      </c>
      <c r="AA52" s="13">
        <f>Drivers!AA31</f>
        <v>4.75</v>
      </c>
      <c r="AB52" s="13">
        <f>Drivers!AB31</f>
        <v>4.75</v>
      </c>
      <c r="AC52" s="13">
        <f>Drivers!AC31</f>
        <v>4.75</v>
      </c>
      <c r="AD52" s="13">
        <f>Drivers!AD31</f>
        <v>4.75</v>
      </c>
      <c r="AE52" s="13">
        <f>Drivers!AE31</f>
        <v>4.75</v>
      </c>
      <c r="AF52" s="13">
        <f>Drivers!AF31</f>
        <v>4.75</v>
      </c>
      <c r="AG52" s="13">
        <f>Drivers!AG31</f>
        <v>4.75</v>
      </c>
      <c r="AH52" s="13">
        <f>Drivers!AH31</f>
        <v>4.75</v>
      </c>
      <c r="AI52" s="13">
        <f>Drivers!AI31</f>
        <v>4.75</v>
      </c>
      <c r="AJ52" s="13">
        <f>Drivers!AJ31</f>
        <v>4.75</v>
      </c>
      <c r="AK52" s="13">
        <f>Drivers!AK31</f>
        <v>4.75</v>
      </c>
    </row>
    <row r="53" spans="1:37" x14ac:dyDescent="0.45">
      <c r="A53" s="12" t="s">
        <v>413</v>
      </c>
      <c r="B53" s="4" t="s">
        <v>414</v>
      </c>
      <c r="C53" s="12" t="s">
        <v>70</v>
      </c>
      <c r="I53" s="49">
        <f t="shared" ref="I53:AK53" si="40">I51+I52</f>
        <v>-35</v>
      </c>
      <c r="J53" s="49">
        <f t="shared" si="40"/>
        <v>-40</v>
      </c>
      <c r="K53" s="49">
        <f t="shared" si="40"/>
        <v>-42</v>
      </c>
      <c r="L53" s="49">
        <f t="shared" si="40"/>
        <v>-36</v>
      </c>
      <c r="M53" s="49">
        <f t="shared" si="40"/>
        <v>-36</v>
      </c>
      <c r="N53" s="49">
        <f t="shared" si="40"/>
        <v>-35</v>
      </c>
      <c r="O53" s="49">
        <f t="shared" si="40"/>
        <v>-36</v>
      </c>
      <c r="P53" s="49">
        <f t="shared" si="40"/>
        <v>-36</v>
      </c>
      <c r="Q53" s="49">
        <f t="shared" si="40"/>
        <v>-38</v>
      </c>
      <c r="R53" s="49">
        <f t="shared" si="40"/>
        <v>-41</v>
      </c>
      <c r="S53" s="49">
        <f t="shared" si="40"/>
        <v>-48</v>
      </c>
      <c r="T53" s="49">
        <f t="shared" si="40"/>
        <v>-51</v>
      </c>
      <c r="U53" s="49">
        <f t="shared" si="40"/>
        <v>-57</v>
      </c>
      <c r="V53" s="49">
        <f t="shared" si="40"/>
        <v>-68</v>
      </c>
      <c r="W53" s="49">
        <f t="shared" si="40"/>
        <v>-64</v>
      </c>
      <c r="X53" s="49">
        <f t="shared" si="40"/>
        <v>-61.288823529411758</v>
      </c>
      <c r="Y53" s="49">
        <f t="shared" si="40"/>
        <v>-64.433529411764709</v>
      </c>
      <c r="Z53" s="49">
        <f t="shared" si="40"/>
        <v>-52.850000000000009</v>
      </c>
      <c r="AA53" s="49">
        <f t="shared" si="40"/>
        <v>-72.050000000000011</v>
      </c>
      <c r="AB53" s="49">
        <f t="shared" si="40"/>
        <v>-62.449999999999989</v>
      </c>
      <c r="AC53" s="49">
        <f t="shared" si="40"/>
        <v>-65.650000000000006</v>
      </c>
      <c r="AD53" s="49">
        <f t="shared" si="40"/>
        <v>-52.129999999999995</v>
      </c>
      <c r="AE53" s="49">
        <f t="shared" si="40"/>
        <v>-71.09</v>
      </c>
      <c r="AF53" s="49">
        <f t="shared" si="40"/>
        <v>-61.610000000000014</v>
      </c>
      <c r="AG53" s="49">
        <f t="shared" si="40"/>
        <v>-64.77000000000001</v>
      </c>
      <c r="AH53" s="49">
        <f t="shared" si="40"/>
        <v>-51.41</v>
      </c>
      <c r="AI53" s="49">
        <f t="shared" si="40"/>
        <v>-70.13</v>
      </c>
      <c r="AJ53" s="49">
        <f t="shared" si="40"/>
        <v>-60.769999999999996</v>
      </c>
      <c r="AK53" s="49">
        <f t="shared" si="40"/>
        <v>-63.889999999999986</v>
      </c>
    </row>
    <row r="54" spans="1:37" x14ac:dyDescent="0.45">
      <c r="A54" s="12" t="s">
        <v>415</v>
      </c>
      <c r="B54" s="3" t="s">
        <v>416</v>
      </c>
      <c r="C54" s="12" t="s">
        <v>193</v>
      </c>
      <c r="F54" s="55">
        <f t="shared" ref="F54:AK54" si="41">-F51/F11*Thousand</f>
        <v>7.8</v>
      </c>
      <c r="G54" s="55">
        <f t="shared" si="41"/>
        <v>8.1666666666666661</v>
      </c>
      <c r="H54" s="55">
        <f t="shared" si="41"/>
        <v>7.166666666666667</v>
      </c>
      <c r="I54" s="55">
        <f t="shared" si="41"/>
        <v>8.2000000000000011</v>
      </c>
      <c r="J54" s="55">
        <f t="shared" si="41"/>
        <v>7.6666666666666661</v>
      </c>
      <c r="K54" s="55">
        <f t="shared" si="41"/>
        <v>6.25</v>
      </c>
      <c r="L54" s="55">
        <f t="shared" si="41"/>
        <v>7.166666666666667</v>
      </c>
      <c r="M54" s="55">
        <f t="shared" si="41"/>
        <v>6.1428571428571423</v>
      </c>
      <c r="N54" s="55">
        <f t="shared" si="41"/>
        <v>6.8333333333333339</v>
      </c>
      <c r="O54" s="55">
        <f t="shared" si="41"/>
        <v>5.375</v>
      </c>
      <c r="P54" s="55">
        <f t="shared" si="41"/>
        <v>6</v>
      </c>
      <c r="Q54" s="55">
        <f t="shared" si="41"/>
        <v>6.2857142857142856</v>
      </c>
      <c r="R54" s="55">
        <f t="shared" si="41"/>
        <v>7.833333333333333</v>
      </c>
      <c r="S54" s="55">
        <f t="shared" si="41"/>
        <v>6.75</v>
      </c>
      <c r="T54" s="55">
        <f t="shared" si="41"/>
        <v>7.125</v>
      </c>
      <c r="U54" s="55">
        <f t="shared" si="41"/>
        <v>7.75</v>
      </c>
      <c r="V54" s="55">
        <f t="shared" si="41"/>
        <v>10.285714285714285</v>
      </c>
      <c r="W54" s="55">
        <f t="shared" si="41"/>
        <v>7.5555555555555562</v>
      </c>
      <c r="X54" s="55">
        <f t="shared" si="41"/>
        <v>8.1</v>
      </c>
      <c r="Y54" s="55">
        <f t="shared" si="41"/>
        <v>8.1</v>
      </c>
      <c r="Z54" s="55">
        <f t="shared" si="41"/>
        <v>8.0000000000000018</v>
      </c>
      <c r="AA54" s="55">
        <f t="shared" si="41"/>
        <v>8.0000000000000018</v>
      </c>
      <c r="AB54" s="55">
        <f t="shared" si="41"/>
        <v>7.9999999999999982</v>
      </c>
      <c r="AC54" s="55">
        <f t="shared" si="41"/>
        <v>8</v>
      </c>
      <c r="AD54" s="55">
        <f t="shared" si="41"/>
        <v>7.8999999999999995</v>
      </c>
      <c r="AE54" s="55">
        <f t="shared" si="41"/>
        <v>7.9</v>
      </c>
      <c r="AF54" s="55">
        <f t="shared" si="41"/>
        <v>7.9</v>
      </c>
      <c r="AG54" s="55">
        <f t="shared" si="41"/>
        <v>7.9</v>
      </c>
      <c r="AH54" s="55">
        <f t="shared" si="41"/>
        <v>7.8</v>
      </c>
      <c r="AI54" s="55">
        <f t="shared" si="41"/>
        <v>7.8</v>
      </c>
      <c r="AJ54" s="55">
        <f t="shared" si="41"/>
        <v>7.8</v>
      </c>
      <c r="AK54" s="55">
        <f t="shared" si="41"/>
        <v>7.7999999999999989</v>
      </c>
    </row>
    <row r="55" spans="1:37" x14ac:dyDescent="0.45">
      <c r="A55" s="12" t="s">
        <v>417</v>
      </c>
      <c r="B55" s="3" t="s">
        <v>418</v>
      </c>
      <c r="C55" s="12" t="s">
        <v>70</v>
      </c>
      <c r="E55" s="13">
        <f>Hist_Q!E22</f>
        <v>1</v>
      </c>
      <c r="F55" s="13">
        <f>Hist_Q!F22</f>
        <v>1</v>
      </c>
      <c r="G55" s="13">
        <f>Hist_Q!G22</f>
        <v>1</v>
      </c>
      <c r="H55" s="13">
        <f>Hist_Q!H22</f>
        <v>1</v>
      </c>
      <c r="I55" s="13">
        <f>Hist_Q!I22</f>
        <v>1</v>
      </c>
      <c r="J55" s="13">
        <f>Hist_Q!J22</f>
        <v>1</v>
      </c>
      <c r="K55" s="13">
        <f>Hist_Q!K22</f>
        <v>1</v>
      </c>
      <c r="L55" s="13">
        <f>Hist_Q!L22</f>
        <v>1</v>
      </c>
      <c r="M55" s="13">
        <f>Hist_Q!M22</f>
        <v>1</v>
      </c>
      <c r="N55" s="13">
        <f>Hist_Q!N22</f>
        <v>1</v>
      </c>
      <c r="O55" s="13">
        <f>Hist_Q!O22</f>
        <v>1</v>
      </c>
      <c r="P55" s="13">
        <f>Hist_Q!P22</f>
        <v>1</v>
      </c>
      <c r="Q55" s="13">
        <f>Hist_Q!Q22</f>
        <v>1</v>
      </c>
      <c r="R55" s="13">
        <f>Hist_Q!R22</f>
        <v>1</v>
      </c>
      <c r="S55" s="13">
        <f>Hist_Q!S22</f>
        <v>1</v>
      </c>
      <c r="T55" s="13">
        <f>Hist_Q!T22</f>
        <v>1</v>
      </c>
      <c r="U55" s="13">
        <f>Hist_Q!U22</f>
        <v>2</v>
      </c>
      <c r="V55" s="13">
        <f>Hist_Q!V22</f>
        <v>1</v>
      </c>
      <c r="W55" s="13">
        <f>Hist_Q!W22</f>
        <v>1</v>
      </c>
      <c r="X55" s="13">
        <f>Drivers!X32</f>
        <v>1</v>
      </c>
      <c r="Y55" s="13">
        <f>Drivers!Y32</f>
        <v>1</v>
      </c>
      <c r="Z55" s="13">
        <f>Drivers!Z32</f>
        <v>1</v>
      </c>
      <c r="AA55" s="13">
        <f>Drivers!AA32</f>
        <v>1</v>
      </c>
      <c r="AB55" s="13">
        <f>Drivers!AB32</f>
        <v>1</v>
      </c>
      <c r="AC55" s="13">
        <f>Drivers!AC32</f>
        <v>1</v>
      </c>
      <c r="AD55" s="13">
        <f>Drivers!AD32</f>
        <v>1</v>
      </c>
      <c r="AE55" s="13">
        <f>Drivers!AE32</f>
        <v>1</v>
      </c>
      <c r="AF55" s="13">
        <f>Drivers!AF32</f>
        <v>1</v>
      </c>
      <c r="AG55" s="13">
        <f>Drivers!AG32</f>
        <v>1</v>
      </c>
      <c r="AH55" s="13">
        <f>Drivers!AH32</f>
        <v>1</v>
      </c>
      <c r="AI55" s="13">
        <f>Drivers!AI32</f>
        <v>1</v>
      </c>
      <c r="AJ55" s="13">
        <f>Drivers!AJ32</f>
        <v>1</v>
      </c>
      <c r="AK55" s="13">
        <f>Drivers!AK32</f>
        <v>1</v>
      </c>
    </row>
    <row r="56" spans="1:37" x14ac:dyDescent="0.45">
      <c r="A56" s="12" t="s">
        <v>419</v>
      </c>
      <c r="B56" s="4" t="s">
        <v>420</v>
      </c>
      <c r="C56" s="12" t="s">
        <v>70</v>
      </c>
      <c r="E56" s="56">
        <f t="shared" ref="E56:AK56" si="42">E42+E45+E51-E55</f>
        <v>73</v>
      </c>
      <c r="F56" s="56">
        <f t="shared" si="42"/>
        <v>89</v>
      </c>
      <c r="G56" s="56">
        <f t="shared" si="42"/>
        <v>113</v>
      </c>
      <c r="H56" s="56">
        <f t="shared" si="42"/>
        <v>151</v>
      </c>
      <c r="I56" s="56">
        <f t="shared" si="42"/>
        <v>158</v>
      </c>
      <c r="J56" s="56">
        <f t="shared" si="42"/>
        <v>174</v>
      </c>
      <c r="K56" s="56">
        <f t="shared" si="42"/>
        <v>208</v>
      </c>
      <c r="L56" s="56">
        <f t="shared" si="42"/>
        <v>226</v>
      </c>
      <c r="M56" s="56">
        <f t="shared" si="42"/>
        <v>226</v>
      </c>
      <c r="N56" s="56">
        <f t="shared" si="42"/>
        <v>249</v>
      </c>
      <c r="O56" s="56">
        <f t="shared" si="42"/>
        <v>286</v>
      </c>
      <c r="P56" s="56">
        <f t="shared" si="42"/>
        <v>322</v>
      </c>
      <c r="Q56" s="56">
        <f t="shared" si="42"/>
        <v>333</v>
      </c>
      <c r="R56" s="56">
        <f t="shared" si="42"/>
        <v>346</v>
      </c>
      <c r="S56" s="56">
        <f t="shared" si="42"/>
        <v>392</v>
      </c>
      <c r="T56" s="56">
        <f t="shared" si="42"/>
        <v>432</v>
      </c>
      <c r="U56" s="56">
        <f t="shared" si="42"/>
        <v>423</v>
      </c>
      <c r="V56" s="56">
        <f t="shared" si="42"/>
        <v>447</v>
      </c>
      <c r="W56" s="56">
        <f t="shared" si="42"/>
        <v>516</v>
      </c>
      <c r="X56" s="56">
        <f t="shared" si="42"/>
        <v>558.73746406249961</v>
      </c>
      <c r="Y56" s="56">
        <f t="shared" si="42"/>
        <v>544.98180619117625</v>
      </c>
      <c r="Z56" s="56">
        <f t="shared" si="42"/>
        <v>578.68918691834949</v>
      </c>
      <c r="AA56" s="56">
        <f t="shared" si="42"/>
        <v>633.89171230769216</v>
      </c>
      <c r="AB56" s="56">
        <f t="shared" si="42"/>
        <v>690.09760486679511</v>
      </c>
      <c r="AC56" s="56">
        <f t="shared" si="42"/>
        <v>670.79024714218747</v>
      </c>
      <c r="AD56" s="56">
        <f t="shared" si="42"/>
        <v>703.82004759648805</v>
      </c>
      <c r="AE56" s="56">
        <f t="shared" si="42"/>
        <v>768.51952821283669</v>
      </c>
      <c r="AF56" s="56">
        <f t="shared" si="42"/>
        <v>827.85169804855786</v>
      </c>
      <c r="AG56" s="56">
        <f t="shared" si="42"/>
        <v>802.0201760704042</v>
      </c>
      <c r="AH56" s="56">
        <f t="shared" si="42"/>
        <v>830.045116073945</v>
      </c>
      <c r="AI56" s="56">
        <f t="shared" si="42"/>
        <v>904.26048446068</v>
      </c>
      <c r="AJ56" s="56">
        <f t="shared" si="42"/>
        <v>966.56128248362211</v>
      </c>
      <c r="AK56" s="56">
        <f t="shared" si="42"/>
        <v>934.02593324437214</v>
      </c>
    </row>
    <row r="57" spans="1:37" x14ac:dyDescent="0.45">
      <c r="A57" s="21"/>
      <c r="B57" s="22" t="s">
        <v>421</v>
      </c>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row>
    <row r="58" spans="1:37" x14ac:dyDescent="0.45">
      <c r="A58" s="12" t="s">
        <v>422</v>
      </c>
      <c r="B58" s="4" t="s">
        <v>423</v>
      </c>
      <c r="C58" s="12" t="s">
        <v>70</v>
      </c>
      <c r="E58" s="49">
        <f t="shared" ref="E58:AK58" si="43">E42+E45</f>
        <v>112</v>
      </c>
      <c r="F58" s="49">
        <f t="shared" si="43"/>
        <v>129</v>
      </c>
      <c r="G58" s="49">
        <f t="shared" si="43"/>
        <v>163</v>
      </c>
      <c r="H58" s="49">
        <f t="shared" si="43"/>
        <v>195</v>
      </c>
      <c r="I58" s="49">
        <f t="shared" si="43"/>
        <v>200</v>
      </c>
      <c r="J58" s="49">
        <f t="shared" si="43"/>
        <v>221</v>
      </c>
      <c r="K58" s="49">
        <f t="shared" si="43"/>
        <v>259</v>
      </c>
      <c r="L58" s="49">
        <f t="shared" si="43"/>
        <v>270</v>
      </c>
      <c r="M58" s="49">
        <f t="shared" si="43"/>
        <v>270</v>
      </c>
      <c r="N58" s="49">
        <f t="shared" si="43"/>
        <v>291</v>
      </c>
      <c r="O58" s="49">
        <f t="shared" si="43"/>
        <v>330</v>
      </c>
      <c r="P58" s="49">
        <f t="shared" si="43"/>
        <v>365</v>
      </c>
      <c r="Q58" s="49">
        <f t="shared" si="43"/>
        <v>378</v>
      </c>
      <c r="R58" s="49">
        <f t="shared" si="43"/>
        <v>394</v>
      </c>
      <c r="S58" s="49">
        <f t="shared" si="43"/>
        <v>447</v>
      </c>
      <c r="T58" s="49">
        <f t="shared" si="43"/>
        <v>490</v>
      </c>
      <c r="U58" s="49">
        <f t="shared" si="43"/>
        <v>487</v>
      </c>
      <c r="V58" s="49">
        <f t="shared" si="43"/>
        <v>520</v>
      </c>
      <c r="W58" s="49">
        <f t="shared" si="43"/>
        <v>585</v>
      </c>
      <c r="X58" s="49">
        <f t="shared" si="43"/>
        <v>625.77628759191134</v>
      </c>
      <c r="Y58" s="49">
        <f t="shared" si="43"/>
        <v>615.16533560294101</v>
      </c>
      <c r="Z58" s="49">
        <f t="shared" si="43"/>
        <v>637.28918691834951</v>
      </c>
      <c r="AA58" s="49">
        <f t="shared" si="43"/>
        <v>711.69171230769211</v>
      </c>
      <c r="AB58" s="49">
        <f t="shared" si="43"/>
        <v>758.29760486679515</v>
      </c>
      <c r="AC58" s="49">
        <f t="shared" si="43"/>
        <v>742.19024714218745</v>
      </c>
      <c r="AD58" s="49">
        <f t="shared" si="43"/>
        <v>761.70004759648805</v>
      </c>
      <c r="AE58" s="49">
        <f t="shared" si="43"/>
        <v>845.35952821283672</v>
      </c>
      <c r="AF58" s="49">
        <f t="shared" si="43"/>
        <v>895.21169804855788</v>
      </c>
      <c r="AG58" s="49">
        <f t="shared" si="43"/>
        <v>872.54017607040419</v>
      </c>
      <c r="AH58" s="49">
        <f t="shared" si="43"/>
        <v>887.20511607394496</v>
      </c>
      <c r="AI58" s="49">
        <f t="shared" si="43"/>
        <v>980.14048446068</v>
      </c>
      <c r="AJ58" s="49">
        <f t="shared" si="43"/>
        <v>1033.0812824836221</v>
      </c>
      <c r="AK58" s="49">
        <f t="shared" si="43"/>
        <v>1003.6659332443721</v>
      </c>
    </row>
    <row r="59" spans="1:37" x14ac:dyDescent="0.45">
      <c r="A59" s="12" t="s">
        <v>424</v>
      </c>
      <c r="B59" s="3" t="s">
        <v>425</v>
      </c>
      <c r="C59" s="12" t="s">
        <v>73</v>
      </c>
      <c r="I59" s="51">
        <f t="shared" ref="I59:AK59" si="44">I58/E58-1</f>
        <v>0.78571428571428581</v>
      </c>
      <c r="J59" s="51">
        <f t="shared" si="44"/>
        <v>0.71317829457364335</v>
      </c>
      <c r="K59" s="51">
        <f t="shared" si="44"/>
        <v>0.58895705521472386</v>
      </c>
      <c r="L59" s="51">
        <f t="shared" si="44"/>
        <v>0.38461538461538458</v>
      </c>
      <c r="M59" s="51">
        <f t="shared" si="44"/>
        <v>0.35000000000000009</v>
      </c>
      <c r="N59" s="51">
        <f t="shared" si="44"/>
        <v>0.31674208144796379</v>
      </c>
      <c r="O59" s="51">
        <f t="shared" si="44"/>
        <v>0.27413127413127403</v>
      </c>
      <c r="P59" s="51">
        <f t="shared" si="44"/>
        <v>0.35185185185185186</v>
      </c>
      <c r="Q59" s="51">
        <f t="shared" si="44"/>
        <v>0.39999999999999991</v>
      </c>
      <c r="R59" s="51">
        <f t="shared" si="44"/>
        <v>0.35395189003436434</v>
      </c>
      <c r="S59" s="51">
        <f t="shared" si="44"/>
        <v>0.3545454545454545</v>
      </c>
      <c r="T59" s="51">
        <f t="shared" si="44"/>
        <v>0.34246575342465757</v>
      </c>
      <c r="U59" s="51">
        <f t="shared" si="44"/>
        <v>0.28835978835978837</v>
      </c>
      <c r="V59" s="51">
        <f t="shared" si="44"/>
        <v>0.31979695431472077</v>
      </c>
      <c r="W59" s="51">
        <f t="shared" si="44"/>
        <v>0.3087248322147651</v>
      </c>
      <c r="X59" s="51">
        <f t="shared" si="44"/>
        <v>0.27709446447328845</v>
      </c>
      <c r="Y59" s="51">
        <f t="shared" si="44"/>
        <v>0.26317317372267146</v>
      </c>
      <c r="Z59" s="51">
        <f t="shared" si="44"/>
        <v>0.22555612868913366</v>
      </c>
      <c r="AA59" s="51">
        <f t="shared" si="44"/>
        <v>0.21656702958579843</v>
      </c>
      <c r="AB59" s="51">
        <f t="shared" si="44"/>
        <v>0.21177107522697503</v>
      </c>
      <c r="AC59" s="51">
        <f t="shared" si="44"/>
        <v>0.2064890594245623</v>
      </c>
      <c r="AD59" s="51">
        <f t="shared" si="44"/>
        <v>0.19521884763137876</v>
      </c>
      <c r="AE59" s="51">
        <f t="shared" si="44"/>
        <v>0.18781701907377957</v>
      </c>
      <c r="AF59" s="51">
        <f t="shared" si="44"/>
        <v>0.18055456367399914</v>
      </c>
      <c r="AG59" s="51">
        <f t="shared" si="44"/>
        <v>0.17562872784994243</v>
      </c>
      <c r="AH59" s="51">
        <f t="shared" si="44"/>
        <v>0.16476967393330599</v>
      </c>
      <c r="AI59" s="51">
        <f t="shared" si="44"/>
        <v>0.15943625374730419</v>
      </c>
      <c r="AJ59" s="51">
        <f t="shared" si="44"/>
        <v>0.15400780031762484</v>
      </c>
      <c r="AK59" s="51">
        <f t="shared" si="44"/>
        <v>0.15028048079632228</v>
      </c>
    </row>
    <row r="60" spans="1:37" x14ac:dyDescent="0.45">
      <c r="A60" s="12" t="s">
        <v>426</v>
      </c>
      <c r="B60" s="3" t="s">
        <v>427</v>
      </c>
      <c r="C60" s="12" t="s">
        <v>70</v>
      </c>
      <c r="I60" s="13">
        <f>Hist_Q!I78+Hist_Q!I79-I58</f>
        <v>7</v>
      </c>
      <c r="J60" s="13">
        <f>Hist_Q!J78+Hist_Q!J79-J58</f>
        <v>8</v>
      </c>
      <c r="K60" s="13">
        <f>Hist_Q!K78+Hist_Q!K79-K58</f>
        <v>8</v>
      </c>
      <c r="L60" s="13">
        <f>Hist_Q!L78+Hist_Q!L79-L58</f>
        <v>10</v>
      </c>
      <c r="M60" s="13">
        <f>Hist_Q!M78+Hist_Q!M79-M58</f>
        <v>11</v>
      </c>
      <c r="N60" s="13">
        <f>Hist_Q!N78+Hist_Q!N79-N58</f>
        <v>12</v>
      </c>
      <c r="O60" s="13">
        <f>Hist_Q!O78+Hist_Q!O79-O58</f>
        <v>14</v>
      </c>
      <c r="P60" s="13">
        <f>Hist_Q!P78+Hist_Q!P79-P58</f>
        <v>13</v>
      </c>
      <c r="Q60" s="13">
        <f>Hist_Q!Q78+Hist_Q!Q79-Q58</f>
        <v>14</v>
      </c>
      <c r="R60" s="13">
        <f>Hist_Q!R78+Hist_Q!R79-R58</f>
        <v>21</v>
      </c>
      <c r="S60" s="13">
        <f>Hist_Q!S78+Hist_Q!S79-S58</f>
        <v>17</v>
      </c>
      <c r="T60" s="13">
        <f>Hist_Q!T78+Hist_Q!T79-T58</f>
        <v>15</v>
      </c>
      <c r="U60" s="13">
        <f>Hist_Q!U78+Hist_Q!U79-U58</f>
        <v>16</v>
      </c>
      <c r="V60" s="13">
        <f>Hist_Q!V78+Hist_Q!V79-V58</f>
        <v>9</v>
      </c>
      <c r="W60" s="13">
        <f>Hist_Q!W78+Hist_Q!W79-W58</f>
        <v>10</v>
      </c>
      <c r="X60" s="13">
        <f>Drivers!X33</f>
        <v>10</v>
      </c>
      <c r="Y60" s="13">
        <f>Drivers!Y33</f>
        <v>10</v>
      </c>
      <c r="Z60" s="13">
        <f>Drivers!Z33</f>
        <v>10</v>
      </c>
      <c r="AA60" s="13">
        <f>Drivers!AA33</f>
        <v>10</v>
      </c>
      <c r="AB60" s="13">
        <f>Drivers!AB33</f>
        <v>10</v>
      </c>
      <c r="AC60" s="13">
        <f>Drivers!AC33</f>
        <v>10</v>
      </c>
      <c r="AD60" s="13">
        <f>Drivers!AD33</f>
        <v>10</v>
      </c>
      <c r="AE60" s="13">
        <f>Drivers!AE33</f>
        <v>10</v>
      </c>
      <c r="AF60" s="13">
        <f>Drivers!AF33</f>
        <v>10</v>
      </c>
      <c r="AG60" s="13">
        <f>Drivers!AG33</f>
        <v>10</v>
      </c>
      <c r="AH60" s="13">
        <f>Drivers!AH33</f>
        <v>10</v>
      </c>
      <c r="AI60" s="13">
        <f>Drivers!AI33</f>
        <v>10</v>
      </c>
      <c r="AJ60" s="13">
        <f>Drivers!AJ33</f>
        <v>10</v>
      </c>
      <c r="AK60" s="13">
        <f>Drivers!AK33</f>
        <v>10</v>
      </c>
    </row>
    <row r="61" spans="1:37" x14ac:dyDescent="0.45">
      <c r="A61" s="12" t="s">
        <v>428</v>
      </c>
      <c r="B61" s="4" t="s">
        <v>429</v>
      </c>
      <c r="C61" s="12" t="s">
        <v>70</v>
      </c>
      <c r="I61" s="49">
        <f t="shared" ref="I61:AK61" si="45">I58+I60</f>
        <v>207</v>
      </c>
      <c r="J61" s="49">
        <f t="shared" si="45"/>
        <v>229</v>
      </c>
      <c r="K61" s="49">
        <f t="shared" si="45"/>
        <v>267</v>
      </c>
      <c r="L61" s="49">
        <f t="shared" si="45"/>
        <v>280</v>
      </c>
      <c r="M61" s="49">
        <f t="shared" si="45"/>
        <v>281</v>
      </c>
      <c r="N61" s="49">
        <f t="shared" si="45"/>
        <v>303</v>
      </c>
      <c r="O61" s="49">
        <f t="shared" si="45"/>
        <v>344</v>
      </c>
      <c r="P61" s="49">
        <f t="shared" si="45"/>
        <v>378</v>
      </c>
      <c r="Q61" s="49">
        <f t="shared" si="45"/>
        <v>392</v>
      </c>
      <c r="R61" s="49">
        <f t="shared" si="45"/>
        <v>415</v>
      </c>
      <c r="S61" s="49">
        <f t="shared" si="45"/>
        <v>464</v>
      </c>
      <c r="T61" s="49">
        <f t="shared" si="45"/>
        <v>505</v>
      </c>
      <c r="U61" s="49">
        <f t="shared" si="45"/>
        <v>503</v>
      </c>
      <c r="V61" s="49">
        <f t="shared" si="45"/>
        <v>529</v>
      </c>
      <c r="W61" s="49">
        <f t="shared" si="45"/>
        <v>595</v>
      </c>
      <c r="X61" s="49">
        <f t="shared" si="45"/>
        <v>635.77628759191134</v>
      </c>
      <c r="Y61" s="49">
        <f t="shared" si="45"/>
        <v>625.16533560294101</v>
      </c>
      <c r="Z61" s="49">
        <f t="shared" si="45"/>
        <v>647.28918691834951</v>
      </c>
      <c r="AA61" s="49">
        <f t="shared" si="45"/>
        <v>721.69171230769211</v>
      </c>
      <c r="AB61" s="49">
        <f t="shared" si="45"/>
        <v>768.29760486679515</v>
      </c>
      <c r="AC61" s="49">
        <f t="shared" si="45"/>
        <v>752.19024714218745</v>
      </c>
      <c r="AD61" s="49">
        <f t="shared" si="45"/>
        <v>771.70004759648805</v>
      </c>
      <c r="AE61" s="49">
        <f t="shared" si="45"/>
        <v>855.35952821283672</v>
      </c>
      <c r="AF61" s="49">
        <f t="shared" si="45"/>
        <v>905.21169804855788</v>
      </c>
      <c r="AG61" s="49">
        <f t="shared" si="45"/>
        <v>882.54017607040419</v>
      </c>
      <c r="AH61" s="49">
        <f t="shared" si="45"/>
        <v>897.20511607394496</v>
      </c>
      <c r="AI61" s="49">
        <f t="shared" si="45"/>
        <v>990.14048446068</v>
      </c>
      <c r="AJ61" s="49">
        <f t="shared" si="45"/>
        <v>1043.0812824836221</v>
      </c>
      <c r="AK61" s="49">
        <f t="shared" si="45"/>
        <v>1013.6659332443721</v>
      </c>
    </row>
    <row r="62" spans="1:37" x14ac:dyDescent="0.45">
      <c r="A62" s="12" t="s">
        <v>430</v>
      </c>
      <c r="B62" s="3" t="s">
        <v>431</v>
      </c>
      <c r="C62" s="12" t="s">
        <v>73</v>
      </c>
      <c r="M62" s="51">
        <f t="shared" ref="M62:AK62" si="46">M61/I61-1</f>
        <v>0.35748792270531404</v>
      </c>
      <c r="N62" s="51">
        <f t="shared" si="46"/>
        <v>0.32314410480349354</v>
      </c>
      <c r="O62" s="51">
        <f t="shared" si="46"/>
        <v>0.28838951310861427</v>
      </c>
      <c r="P62" s="51">
        <f t="shared" si="46"/>
        <v>0.35000000000000009</v>
      </c>
      <c r="Q62" s="51">
        <f t="shared" si="46"/>
        <v>0.395017793594306</v>
      </c>
      <c r="R62" s="51">
        <f t="shared" si="46"/>
        <v>0.36963696369636967</v>
      </c>
      <c r="S62" s="51">
        <f t="shared" si="46"/>
        <v>0.34883720930232553</v>
      </c>
      <c r="T62" s="51">
        <f t="shared" si="46"/>
        <v>0.33597883597883604</v>
      </c>
      <c r="U62" s="51">
        <f t="shared" si="46"/>
        <v>0.28316326530612246</v>
      </c>
      <c r="V62" s="51">
        <f t="shared" si="46"/>
        <v>0.27469879518072293</v>
      </c>
      <c r="W62" s="51">
        <f t="shared" si="46"/>
        <v>0.28232758620689657</v>
      </c>
      <c r="X62" s="51">
        <f t="shared" si="46"/>
        <v>0.2589629457265572</v>
      </c>
      <c r="Y62" s="51">
        <f t="shared" si="46"/>
        <v>0.24287343062214917</v>
      </c>
      <c r="Z62" s="51">
        <f t="shared" si="46"/>
        <v>0.22360904899498957</v>
      </c>
      <c r="AA62" s="51">
        <f t="shared" si="46"/>
        <v>0.21292724757595316</v>
      </c>
      <c r="AB62" s="51">
        <f t="shared" si="46"/>
        <v>0.20844016969683832</v>
      </c>
      <c r="AC62" s="51">
        <f t="shared" si="46"/>
        <v>0.20318610822645367</v>
      </c>
      <c r="AD62" s="51">
        <f t="shared" si="46"/>
        <v>0.19220290280213193</v>
      </c>
      <c r="AE62" s="51">
        <f t="shared" si="46"/>
        <v>0.18521456409375459</v>
      </c>
      <c r="AF62" s="51">
        <f t="shared" si="46"/>
        <v>0.17820450345605399</v>
      </c>
      <c r="AG62" s="51">
        <f t="shared" si="46"/>
        <v>0.17329383014929811</v>
      </c>
      <c r="AH62" s="51">
        <f t="shared" si="46"/>
        <v>0.16263452214153795</v>
      </c>
      <c r="AI62" s="51">
        <f t="shared" si="46"/>
        <v>0.15757228604146212</v>
      </c>
      <c r="AJ62" s="51">
        <f t="shared" si="46"/>
        <v>0.15230645464732895</v>
      </c>
      <c r="AK62" s="51">
        <f t="shared" si="46"/>
        <v>0.14857766335105338</v>
      </c>
    </row>
    <row r="63" spans="1:37" x14ac:dyDescent="0.45">
      <c r="A63" s="12" t="s">
        <v>432</v>
      </c>
      <c r="B63" s="3" t="s">
        <v>433</v>
      </c>
      <c r="C63" s="12" t="s">
        <v>347</v>
      </c>
      <c r="F63" s="50">
        <f t="shared" ref="F63:AK63" si="47">F58*Mn/F12/MonthsPerQuarter</f>
        <v>722.6890756302522</v>
      </c>
      <c r="G63" s="50">
        <f t="shared" si="47"/>
        <v>835.89743589743591</v>
      </c>
      <c r="H63" s="50">
        <f t="shared" si="47"/>
        <v>915.49295774647896</v>
      </c>
      <c r="I63" s="50">
        <f t="shared" si="47"/>
        <v>871.45969498910665</v>
      </c>
      <c r="J63" s="50">
        <f t="shared" si="47"/>
        <v>898.3739837398374</v>
      </c>
      <c r="K63" s="50">
        <f t="shared" si="47"/>
        <v>970.0374531835206</v>
      </c>
      <c r="L63" s="50">
        <f t="shared" si="47"/>
        <v>937.5</v>
      </c>
      <c r="M63" s="50">
        <f t="shared" si="47"/>
        <v>878.04878048780483</v>
      </c>
      <c r="N63" s="50">
        <f t="shared" si="47"/>
        <v>889.90825688073392</v>
      </c>
      <c r="O63" s="50">
        <f t="shared" si="47"/>
        <v>948.27586206896558</v>
      </c>
      <c r="P63" s="50">
        <f t="shared" si="47"/>
        <v>985.15519568151149</v>
      </c>
      <c r="Q63" s="50">
        <f t="shared" si="47"/>
        <v>965.51724137931035</v>
      </c>
      <c r="R63" s="50">
        <f t="shared" si="47"/>
        <v>958.63746958637466</v>
      </c>
      <c r="S63" s="50">
        <f t="shared" si="47"/>
        <v>1034.7222222222222</v>
      </c>
      <c r="T63" s="50">
        <f t="shared" si="47"/>
        <v>1074.5614035087719</v>
      </c>
      <c r="U63" s="50">
        <f t="shared" si="47"/>
        <v>1014.5833333333334</v>
      </c>
      <c r="V63" s="50">
        <f t="shared" si="47"/>
        <v>1034.8258706467661</v>
      </c>
      <c r="W63" s="50">
        <f t="shared" si="47"/>
        <v>1111.1111111111111</v>
      </c>
      <c r="X63" s="50">
        <f t="shared" si="47"/>
        <v>1133.1817434210518</v>
      </c>
      <c r="Y63" s="50">
        <f t="shared" si="47"/>
        <v>1065.6446874999999</v>
      </c>
      <c r="Z63" s="50">
        <f t="shared" si="47"/>
        <v>1060.5889552238807</v>
      </c>
      <c r="AA63" s="50">
        <f t="shared" si="47"/>
        <v>1136.7381766381764</v>
      </c>
      <c r="AB63" s="50">
        <f t="shared" si="47"/>
        <v>1161.1056422697361</v>
      </c>
      <c r="AC63" s="50">
        <f t="shared" si="47"/>
        <v>1093.2531151041667</v>
      </c>
      <c r="AD63" s="50">
        <f t="shared" si="47"/>
        <v>1083.6807104477609</v>
      </c>
      <c r="AE63" s="50">
        <f t="shared" si="47"/>
        <v>1161.0767996201323</v>
      </c>
      <c r="AF63" s="50">
        <f t="shared" si="47"/>
        <v>1185.5815389692968</v>
      </c>
      <c r="AG63" s="50">
        <f t="shared" si="47"/>
        <v>1117.3772499583331</v>
      </c>
      <c r="AH63" s="50">
        <f t="shared" si="47"/>
        <v>1102.2792496716411</v>
      </c>
      <c r="AI63" s="50">
        <f t="shared" si="47"/>
        <v>1180.7749929724594</v>
      </c>
      <c r="AJ63" s="50">
        <f t="shared" si="47"/>
        <v>1205.3465795188586</v>
      </c>
      <c r="AK63" s="50">
        <f t="shared" si="47"/>
        <v>1136.8059740924998</v>
      </c>
    </row>
    <row r="64" spans="1:37" x14ac:dyDescent="0.45">
      <c r="A64" s="12" t="s">
        <v>434</v>
      </c>
      <c r="B64" s="3" t="s">
        <v>435</v>
      </c>
      <c r="C64" s="12" t="s">
        <v>70</v>
      </c>
      <c r="E64" s="13">
        <f>Hist_Q!E74</f>
        <v>568</v>
      </c>
      <c r="F64" s="13">
        <f>Hist_Q!F74</f>
        <v>637</v>
      </c>
      <c r="G64" s="13">
        <f>Hist_Q!G74</f>
        <v>787</v>
      </c>
      <c r="H64" s="13">
        <f>Hist_Q!H74</f>
        <v>868</v>
      </c>
      <c r="I64" s="13">
        <f>Hist_Q!I74</f>
        <v>901</v>
      </c>
      <c r="J64" s="13">
        <f>Hist_Q!J74</f>
        <v>987</v>
      </c>
      <c r="K64" s="13">
        <f>Hist_Q!K74</f>
        <v>1140</v>
      </c>
      <c r="L64" s="13">
        <f>Hist_Q!L74</f>
        <v>1218</v>
      </c>
      <c r="M64" s="13">
        <f>Hist_Q!M74</f>
        <v>1218</v>
      </c>
      <c r="N64" s="13">
        <f>Hist_Q!N74</f>
        <v>1305</v>
      </c>
      <c r="O64" s="13">
        <f>Hist_Q!O74</f>
        <v>1473</v>
      </c>
      <c r="P64" s="13">
        <f>Hist_Q!P74</f>
        <v>1554</v>
      </c>
      <c r="Q64" s="13">
        <f>Hist_Q!Q74</f>
        <v>1626</v>
      </c>
      <c r="R64" s="13">
        <f>Hist_Q!R74</f>
        <v>1713</v>
      </c>
      <c r="S64" s="13">
        <f>Hist_Q!S74</f>
        <v>1928</v>
      </c>
      <c r="T64" s="13">
        <f>Hist_Q!T74</f>
        <v>2016</v>
      </c>
      <c r="U64" s="13">
        <f>Hist_Q!U74</f>
        <v>2047</v>
      </c>
      <c r="V64" s="13">
        <f>Hist_Q!V74</f>
        <v>2151</v>
      </c>
      <c r="W64" s="13">
        <f>Hist_Q!W74</f>
        <v>2409</v>
      </c>
    </row>
  </sheetData>
  <pageMargins left="0.75" right="0.75" top="1" bottom="1" header="0.5" footer="0.5"/>
  <pageSetup fitToHeight="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K58"/>
  <sheetViews>
    <sheetView showGridLines="0" zoomScale="90" workbookViewId="0">
      <pane xSplit="4" ySplit="8" topLeftCell="E9" activePane="bottomRight" state="frozen"/>
      <selection pane="topRight"/>
      <selection pane="bottomLeft"/>
      <selection pane="bottomRight"/>
    </sheetView>
  </sheetViews>
  <sheetFormatPr defaultRowHeight="14.25" x14ac:dyDescent="0.45"/>
  <cols>
    <col min="1" max="1" width="13" customWidth="1"/>
    <col min="2" max="2" width="50" customWidth="1"/>
    <col min="3" max="3" width="11" customWidth="1"/>
    <col min="4" max="4" width="3" customWidth="1"/>
    <col min="5" max="37" width="10" customWidth="1"/>
  </cols>
  <sheetData>
    <row r="1" spans="1:37" ht="18" x14ac:dyDescent="0.55000000000000004">
      <c r="A1" s="1" t="s">
        <v>436</v>
      </c>
    </row>
    <row r="2" spans="1:37" x14ac:dyDescent="0.45">
      <c r="A2" s="2" t="s">
        <v>437</v>
      </c>
    </row>
    <row r="4" spans="1:37" x14ac:dyDescent="0.45">
      <c r="A4" s="12" t="s">
        <v>279</v>
      </c>
      <c r="B4" s="4" t="s">
        <v>92</v>
      </c>
      <c r="C4" s="12"/>
      <c r="E4" s="10" t="str">
        <f>Drivers!E$4</f>
        <v>Q4'21</v>
      </c>
      <c r="F4" s="10" t="str">
        <f>Drivers!F$4</f>
        <v>Q1'22</v>
      </c>
      <c r="G4" s="10" t="str">
        <f>Drivers!G$4</f>
        <v>Q2'22</v>
      </c>
      <c r="H4" s="10" t="str">
        <f>Drivers!H$4</f>
        <v>Q3'22</v>
      </c>
      <c r="I4" s="10" t="str">
        <f>Drivers!I$4</f>
        <v>Q4'22</v>
      </c>
      <c r="J4" s="10" t="str">
        <f>Drivers!J$4</f>
        <v>Q1'23</v>
      </c>
      <c r="K4" s="10" t="str">
        <f>Drivers!K$4</f>
        <v>Q2'23</v>
      </c>
      <c r="L4" s="10" t="str">
        <f>Drivers!L$4</f>
        <v>Q3'23</v>
      </c>
      <c r="M4" s="10" t="str">
        <f>Drivers!M$4</f>
        <v>Q4'23</v>
      </c>
      <c r="N4" s="10" t="str">
        <f>Drivers!N$4</f>
        <v>Q1'24</v>
      </c>
      <c r="O4" s="10" t="str">
        <f>Drivers!O$4</f>
        <v>Q2'24</v>
      </c>
      <c r="P4" s="10" t="str">
        <f>Drivers!P$4</f>
        <v>Q3'24</v>
      </c>
      <c r="Q4" s="10" t="str">
        <f>Drivers!Q$4</f>
        <v>Q4'24</v>
      </c>
      <c r="R4" s="10" t="str">
        <f>Drivers!R$4</f>
        <v>Q1'25</v>
      </c>
      <c r="S4" s="10" t="str">
        <f>Drivers!S$4</f>
        <v>Q2'25</v>
      </c>
      <c r="T4" s="10" t="str">
        <f>Drivers!T$4</f>
        <v>Q3'25</v>
      </c>
      <c r="U4" s="10" t="str">
        <f>Drivers!U$4</f>
        <v>Q4'25</v>
      </c>
      <c r="V4" s="10" t="str">
        <f>Drivers!V$4</f>
        <v>Q1'26</v>
      </c>
      <c r="W4" s="10" t="str">
        <f>Drivers!W$4</f>
        <v>Q2'26</v>
      </c>
      <c r="X4" s="11" t="str">
        <f>Drivers!X$4</f>
        <v>Q3'26</v>
      </c>
      <c r="Y4" s="11" t="str">
        <f>Drivers!Y$4</f>
        <v>Q4'26</v>
      </c>
      <c r="Z4" s="11" t="str">
        <f>Drivers!Z$4</f>
        <v>Q1'27</v>
      </c>
      <c r="AA4" s="11" t="str">
        <f>Drivers!AA$4</f>
        <v>Q2'27</v>
      </c>
      <c r="AB4" s="11" t="str">
        <f>Drivers!AB$4</f>
        <v>Q3'27</v>
      </c>
      <c r="AC4" s="11" t="str">
        <f>Drivers!AC$4</f>
        <v>Q4'27</v>
      </c>
      <c r="AD4" s="11" t="str">
        <f>Drivers!AD$4</f>
        <v>Q1'28</v>
      </c>
      <c r="AE4" s="11" t="str">
        <f>Drivers!AE$4</f>
        <v>Q2'28</v>
      </c>
      <c r="AF4" s="11" t="str">
        <f>Drivers!AF$4</f>
        <v>Q3'28</v>
      </c>
      <c r="AG4" s="11" t="str">
        <f>Drivers!AG$4</f>
        <v>Q4'28</v>
      </c>
      <c r="AH4" s="11" t="str">
        <f>Drivers!AH$4</f>
        <v>Q1'29</v>
      </c>
      <c r="AI4" s="11" t="str">
        <f>Drivers!AI$4</f>
        <v>Q2'29</v>
      </c>
      <c r="AJ4" s="11" t="str">
        <f>Drivers!AJ$4</f>
        <v>Q3'29</v>
      </c>
      <c r="AK4" s="11" t="str">
        <f>Drivers!AK$4</f>
        <v>Q4'29</v>
      </c>
    </row>
    <row r="5" spans="1:37" x14ac:dyDescent="0.45">
      <c r="A5" s="12" t="s">
        <v>280</v>
      </c>
      <c r="B5" s="3" t="s">
        <v>281</v>
      </c>
      <c r="C5" s="12"/>
      <c r="E5" s="45" t="str">
        <f>Drivers!E$5</f>
        <v>A</v>
      </c>
      <c r="F5" s="45" t="str">
        <f>Drivers!F$5</f>
        <v>A</v>
      </c>
      <c r="G5" s="45" t="str">
        <f>Drivers!G$5</f>
        <v>A</v>
      </c>
      <c r="H5" s="45" t="str">
        <f>Drivers!H$5</f>
        <v>A</v>
      </c>
      <c r="I5" s="45" t="str">
        <f>Drivers!I$5</f>
        <v>A</v>
      </c>
      <c r="J5" s="45" t="str">
        <f>Drivers!J$5</f>
        <v>A</v>
      </c>
      <c r="K5" s="45" t="str">
        <f>Drivers!K$5</f>
        <v>A</v>
      </c>
      <c r="L5" s="45" t="str">
        <f>Drivers!L$5</f>
        <v>A</v>
      </c>
      <c r="M5" s="45" t="str">
        <f>Drivers!M$5</f>
        <v>A</v>
      </c>
      <c r="N5" s="45" t="str">
        <f>Drivers!N$5</f>
        <v>A</v>
      </c>
      <c r="O5" s="45" t="str">
        <f>Drivers!O$5</f>
        <v>A</v>
      </c>
      <c r="P5" s="45" t="str">
        <f>Drivers!P$5</f>
        <v>A</v>
      </c>
      <c r="Q5" s="45" t="str">
        <f>Drivers!Q$5</f>
        <v>A</v>
      </c>
      <c r="R5" s="45" t="str">
        <f>Drivers!R$5</f>
        <v>A</v>
      </c>
      <c r="S5" s="45" t="str">
        <f>Drivers!S$5</f>
        <v>A</v>
      </c>
      <c r="T5" s="45" t="str">
        <f>Drivers!T$5</f>
        <v>A</v>
      </c>
      <c r="U5" s="45" t="str">
        <f>Drivers!U$5</f>
        <v>A</v>
      </c>
      <c r="V5" s="45" t="str">
        <f>Drivers!V$5</f>
        <v>A</v>
      </c>
      <c r="W5" s="45" t="str">
        <f>Drivers!W$5</f>
        <v>A</v>
      </c>
      <c r="X5" s="46" t="str">
        <f>Drivers!X$5</f>
        <v>F</v>
      </c>
      <c r="Y5" s="46" t="str">
        <f>Drivers!Y$5</f>
        <v>F</v>
      </c>
      <c r="Z5" s="46" t="str">
        <f>Drivers!Z$5</f>
        <v>F</v>
      </c>
      <c r="AA5" s="46" t="str">
        <f>Drivers!AA$5</f>
        <v>F</v>
      </c>
      <c r="AB5" s="46" t="str">
        <f>Drivers!AB$5</f>
        <v>F</v>
      </c>
      <c r="AC5" s="46" t="str">
        <f>Drivers!AC$5</f>
        <v>F</v>
      </c>
      <c r="AD5" s="46" t="str">
        <f>Drivers!AD$5</f>
        <v>F</v>
      </c>
      <c r="AE5" s="46" t="str">
        <f>Drivers!AE$5</f>
        <v>F</v>
      </c>
      <c r="AF5" s="46" t="str">
        <f>Drivers!AF$5</f>
        <v>F</v>
      </c>
      <c r="AG5" s="46" t="str">
        <f>Drivers!AG$5</f>
        <v>F</v>
      </c>
      <c r="AH5" s="46" t="str">
        <f>Drivers!AH$5</f>
        <v>F</v>
      </c>
      <c r="AI5" s="46" t="str">
        <f>Drivers!AI$5</f>
        <v>F</v>
      </c>
      <c r="AJ5" s="46" t="str">
        <f>Drivers!AJ$5</f>
        <v>F</v>
      </c>
      <c r="AK5" s="46" t="str">
        <f>Drivers!AK$5</f>
        <v>F</v>
      </c>
    </row>
    <row r="6" spans="1:37" x14ac:dyDescent="0.45">
      <c r="A6" s="12" t="s">
        <v>282</v>
      </c>
      <c r="B6" s="3" t="s">
        <v>97</v>
      </c>
      <c r="C6" s="12"/>
      <c r="E6" s="20">
        <f>Drivers!E$6</f>
        <v>2021</v>
      </c>
      <c r="F6" s="20">
        <f>Drivers!F$6</f>
        <v>2022</v>
      </c>
      <c r="G6" s="20">
        <f>Drivers!G$6</f>
        <v>2022</v>
      </c>
      <c r="H6" s="20">
        <f>Drivers!H$6</f>
        <v>2022</v>
      </c>
      <c r="I6" s="20">
        <f>Drivers!I$6</f>
        <v>2022</v>
      </c>
      <c r="J6" s="20">
        <f>Drivers!J$6</f>
        <v>2023</v>
      </c>
      <c r="K6" s="20">
        <f>Drivers!K$6</f>
        <v>2023</v>
      </c>
      <c r="L6" s="20">
        <f>Drivers!L$6</f>
        <v>2023</v>
      </c>
      <c r="M6" s="20">
        <f>Drivers!M$6</f>
        <v>2023</v>
      </c>
      <c r="N6" s="20">
        <f>Drivers!N$6</f>
        <v>2024</v>
      </c>
      <c r="O6" s="20">
        <f>Drivers!O$6</f>
        <v>2024</v>
      </c>
      <c r="P6" s="20">
        <f>Drivers!P$6</f>
        <v>2024</v>
      </c>
      <c r="Q6" s="20">
        <f>Drivers!Q$6</f>
        <v>2024</v>
      </c>
      <c r="R6" s="20">
        <f>Drivers!R$6</f>
        <v>2025</v>
      </c>
      <c r="S6" s="20">
        <f>Drivers!S$6</f>
        <v>2025</v>
      </c>
      <c r="T6" s="20">
        <f>Drivers!T$6</f>
        <v>2025</v>
      </c>
      <c r="U6" s="20">
        <f>Drivers!U$6</f>
        <v>2025</v>
      </c>
      <c r="V6" s="20">
        <f>Drivers!V$6</f>
        <v>2026</v>
      </c>
      <c r="W6" s="20">
        <f>Drivers!W$6</f>
        <v>2026</v>
      </c>
      <c r="X6" s="20">
        <f>Drivers!X$6</f>
        <v>2026</v>
      </c>
      <c r="Y6" s="20">
        <f>Drivers!Y$6</f>
        <v>2026</v>
      </c>
      <c r="Z6" s="20">
        <f>Drivers!Z$6</f>
        <v>2027</v>
      </c>
      <c r="AA6" s="20">
        <f>Drivers!AA$6</f>
        <v>2027</v>
      </c>
      <c r="AB6" s="20">
        <f>Drivers!AB$6</f>
        <v>2027</v>
      </c>
      <c r="AC6" s="20">
        <f>Drivers!AC$6</f>
        <v>2027</v>
      </c>
      <c r="AD6" s="20">
        <f>Drivers!AD$6</f>
        <v>2028</v>
      </c>
      <c r="AE6" s="20">
        <f>Drivers!AE$6</f>
        <v>2028</v>
      </c>
      <c r="AF6" s="20">
        <f>Drivers!AF$6</f>
        <v>2028</v>
      </c>
      <c r="AG6" s="20">
        <f>Drivers!AG$6</f>
        <v>2028</v>
      </c>
      <c r="AH6" s="20">
        <f>Drivers!AH$6</f>
        <v>2029</v>
      </c>
      <c r="AI6" s="20">
        <f>Drivers!AI$6</f>
        <v>2029</v>
      </c>
      <c r="AJ6" s="20">
        <f>Drivers!AJ$6</f>
        <v>2029</v>
      </c>
      <c r="AK6" s="20">
        <f>Drivers!AK$6</f>
        <v>2029</v>
      </c>
    </row>
    <row r="7" spans="1:37" x14ac:dyDescent="0.45">
      <c r="A7" s="12" t="s">
        <v>283</v>
      </c>
      <c r="B7" s="3" t="s">
        <v>284</v>
      </c>
      <c r="C7" s="12"/>
      <c r="E7" s="20">
        <f>Drivers!E$7</f>
        <v>4</v>
      </c>
      <c r="F7" s="20">
        <f>Drivers!F$7</f>
        <v>1</v>
      </c>
      <c r="G7" s="20">
        <f>Drivers!G$7</f>
        <v>2</v>
      </c>
      <c r="H7" s="20">
        <f>Drivers!H$7</f>
        <v>3</v>
      </c>
      <c r="I7" s="20">
        <f>Drivers!I$7</f>
        <v>4</v>
      </c>
      <c r="J7" s="20">
        <f>Drivers!J$7</f>
        <v>1</v>
      </c>
      <c r="K7" s="20">
        <f>Drivers!K$7</f>
        <v>2</v>
      </c>
      <c r="L7" s="20">
        <f>Drivers!L$7</f>
        <v>3</v>
      </c>
      <c r="M7" s="20">
        <f>Drivers!M$7</f>
        <v>4</v>
      </c>
      <c r="N7" s="20">
        <f>Drivers!N$7</f>
        <v>1</v>
      </c>
      <c r="O7" s="20">
        <f>Drivers!O$7</f>
        <v>2</v>
      </c>
      <c r="P7" s="20">
        <f>Drivers!P$7</f>
        <v>3</v>
      </c>
      <c r="Q7" s="20">
        <f>Drivers!Q$7</f>
        <v>4</v>
      </c>
      <c r="R7" s="20">
        <f>Drivers!R$7</f>
        <v>1</v>
      </c>
      <c r="S7" s="20">
        <f>Drivers!S$7</f>
        <v>2</v>
      </c>
      <c r="T7" s="20">
        <f>Drivers!T$7</f>
        <v>3</v>
      </c>
      <c r="U7" s="20">
        <f>Drivers!U$7</f>
        <v>4</v>
      </c>
      <c r="V7" s="20">
        <f>Drivers!V$7</f>
        <v>1</v>
      </c>
      <c r="W7" s="20">
        <f>Drivers!W$7</f>
        <v>2</v>
      </c>
      <c r="X7" s="20">
        <f>Drivers!X$7</f>
        <v>3</v>
      </c>
      <c r="Y7" s="20">
        <f>Drivers!Y$7</f>
        <v>4</v>
      </c>
      <c r="Z7" s="20">
        <f>Drivers!Z$7</f>
        <v>1</v>
      </c>
      <c r="AA7" s="20">
        <f>Drivers!AA$7</f>
        <v>2</v>
      </c>
      <c r="AB7" s="20">
        <f>Drivers!AB$7</f>
        <v>3</v>
      </c>
      <c r="AC7" s="20">
        <f>Drivers!AC$7</f>
        <v>4</v>
      </c>
      <c r="AD7" s="20">
        <f>Drivers!AD$7</f>
        <v>1</v>
      </c>
      <c r="AE7" s="20">
        <f>Drivers!AE$7</f>
        <v>2</v>
      </c>
      <c r="AF7" s="20">
        <f>Drivers!AF$7</f>
        <v>3</v>
      </c>
      <c r="AG7" s="20">
        <f>Drivers!AG$7</f>
        <v>4</v>
      </c>
      <c r="AH7" s="20">
        <f>Drivers!AH$7</f>
        <v>1</v>
      </c>
      <c r="AI7" s="20">
        <f>Drivers!AI$7</f>
        <v>2</v>
      </c>
      <c r="AJ7" s="20">
        <f>Drivers!AJ$7</f>
        <v>3</v>
      </c>
      <c r="AK7" s="20">
        <f>Drivers!AK$7</f>
        <v>4</v>
      </c>
    </row>
    <row r="8" spans="1:37" x14ac:dyDescent="0.45">
      <c r="A8" s="12" t="s">
        <v>285</v>
      </c>
      <c r="B8" s="3" t="s">
        <v>286</v>
      </c>
      <c r="C8" s="12"/>
      <c r="E8" s="47">
        <f>Drivers!E$8</f>
        <v>44561</v>
      </c>
      <c r="F8" s="47">
        <f>Drivers!F$8</f>
        <v>44651</v>
      </c>
      <c r="G8" s="47">
        <f>Drivers!G$8</f>
        <v>44742</v>
      </c>
      <c r="H8" s="47">
        <f>Drivers!H$8</f>
        <v>44834</v>
      </c>
      <c r="I8" s="47">
        <f>Drivers!I$8</f>
        <v>44926</v>
      </c>
      <c r="J8" s="47">
        <f>Drivers!J$8</f>
        <v>45016</v>
      </c>
      <c r="K8" s="47">
        <f>Drivers!K$8</f>
        <v>45107</v>
      </c>
      <c r="L8" s="47">
        <f>Drivers!L$8</f>
        <v>45199</v>
      </c>
      <c r="M8" s="47">
        <f>Drivers!M$8</f>
        <v>45291</v>
      </c>
      <c r="N8" s="47">
        <f>Drivers!N$8</f>
        <v>45382</v>
      </c>
      <c r="O8" s="47">
        <f>Drivers!O$8</f>
        <v>45473</v>
      </c>
      <c r="P8" s="47">
        <f>Drivers!P$8</f>
        <v>45565</v>
      </c>
      <c r="Q8" s="47">
        <f>Drivers!Q$8</f>
        <v>45657</v>
      </c>
      <c r="R8" s="47">
        <f>Drivers!R$8</f>
        <v>45747</v>
      </c>
      <c r="S8" s="47">
        <f>Drivers!S$8</f>
        <v>45838</v>
      </c>
      <c r="T8" s="47">
        <f>Drivers!T$8</f>
        <v>45930</v>
      </c>
      <c r="U8" s="47">
        <f>Drivers!U$8</f>
        <v>46022</v>
      </c>
      <c r="V8" s="47">
        <f>Drivers!V$8</f>
        <v>46112</v>
      </c>
      <c r="W8" s="47">
        <f>Drivers!W$8</f>
        <v>46203</v>
      </c>
      <c r="X8" s="47">
        <f>Drivers!X$8</f>
        <v>46295</v>
      </c>
      <c r="Y8" s="47">
        <f>Drivers!Y$8</f>
        <v>46387</v>
      </c>
      <c r="Z8" s="47">
        <f>Drivers!Z$8</f>
        <v>46477</v>
      </c>
      <c r="AA8" s="47">
        <f>Drivers!AA$8</f>
        <v>46568</v>
      </c>
      <c r="AB8" s="47">
        <f>Drivers!AB$8</f>
        <v>46660</v>
      </c>
      <c r="AC8" s="47">
        <f>Drivers!AC$8</f>
        <v>46752</v>
      </c>
      <c r="AD8" s="47">
        <f>Drivers!AD$8</f>
        <v>46843</v>
      </c>
      <c r="AE8" s="47">
        <f>Drivers!AE$8</f>
        <v>46934</v>
      </c>
      <c r="AF8" s="47">
        <f>Drivers!AF$8</f>
        <v>47026</v>
      </c>
      <c r="AG8" s="47">
        <f>Drivers!AG$8</f>
        <v>47118</v>
      </c>
      <c r="AH8" s="47">
        <f>Drivers!AH$8</f>
        <v>47208</v>
      </c>
      <c r="AI8" s="47">
        <f>Drivers!AI$8</f>
        <v>47299</v>
      </c>
      <c r="AJ8" s="47">
        <f>Drivers!AJ$8</f>
        <v>47391</v>
      </c>
      <c r="AK8" s="47">
        <f>Drivers!AK$8</f>
        <v>47483</v>
      </c>
    </row>
    <row r="9" spans="1:37" x14ac:dyDescent="0.45">
      <c r="A9" s="21"/>
      <c r="B9" s="22" t="s">
        <v>438</v>
      </c>
      <c r="C9" s="21"/>
      <c r="D9" s="21"/>
      <c r="E9" s="21"/>
      <c r="F9" s="21"/>
      <c r="G9" s="21"/>
      <c r="H9" s="21"/>
      <c r="I9" s="21"/>
      <c r="J9" s="21"/>
      <c r="K9" s="21"/>
      <c r="L9" s="21"/>
      <c r="M9" s="21"/>
      <c r="N9" s="21"/>
      <c r="O9" s="21"/>
      <c r="P9" s="21"/>
      <c r="Q9" s="21"/>
      <c r="R9" s="21"/>
      <c r="S9" s="21"/>
      <c r="T9" s="21"/>
      <c r="U9" s="21"/>
      <c r="V9" s="21"/>
      <c r="W9" s="21"/>
      <c r="X9" s="21"/>
      <c r="Y9" s="21"/>
      <c r="Z9" s="21"/>
      <c r="AA9" s="21"/>
      <c r="AB9" s="21"/>
      <c r="AC9" s="21"/>
      <c r="AD9" s="21"/>
      <c r="AE9" s="21"/>
      <c r="AF9" s="21"/>
      <c r="AG9" s="21"/>
      <c r="AH9" s="21"/>
      <c r="AI9" s="21"/>
      <c r="AJ9" s="21"/>
      <c r="AK9" s="21"/>
    </row>
    <row r="10" spans="1:37" x14ac:dyDescent="0.45">
      <c r="A10" s="12" t="s">
        <v>350</v>
      </c>
      <c r="B10" s="57" t="s">
        <v>344</v>
      </c>
      <c r="C10" s="12" t="s">
        <v>70</v>
      </c>
      <c r="E10" s="13">
        <f>Rev_Build!E17</f>
        <v>54</v>
      </c>
      <c r="F10" s="13">
        <f>Rev_Build!F17</f>
        <v>63</v>
      </c>
      <c r="G10" s="13">
        <f>Rev_Build!G17</f>
        <v>76</v>
      </c>
      <c r="H10" s="13">
        <f>Rev_Build!H17</f>
        <v>90</v>
      </c>
      <c r="I10" s="13">
        <f>Rev_Build!I17</f>
        <v>94</v>
      </c>
      <c r="J10" s="13">
        <f>Rev_Build!J17</f>
        <v>107</v>
      </c>
      <c r="K10" s="13">
        <f>Rev_Build!K17</f>
        <v>121</v>
      </c>
      <c r="L10" s="13">
        <f>Rev_Build!L17</f>
        <v>131</v>
      </c>
      <c r="M10" s="13">
        <f>Rev_Build!M17</f>
        <v>142</v>
      </c>
      <c r="N10" s="13">
        <f>Rev_Build!N17</f>
        <v>151</v>
      </c>
      <c r="O10" s="13">
        <f>Rev_Build!O17</f>
        <v>166</v>
      </c>
      <c r="P10" s="13">
        <f>Rev_Build!P17</f>
        <v>189</v>
      </c>
      <c r="Q10" s="13">
        <f>Rev_Build!Q17</f>
        <v>200</v>
      </c>
      <c r="R10" s="13">
        <f>Rev_Build!R17</f>
        <v>209</v>
      </c>
      <c r="S10" s="13">
        <f>Rev_Build!S17</f>
        <v>227</v>
      </c>
      <c r="T10" s="13">
        <f>Rev_Build!T17</f>
        <v>244</v>
      </c>
      <c r="U10" s="13">
        <f>Rev_Build!U17</f>
        <v>256</v>
      </c>
      <c r="V10" s="13">
        <f>Rev_Build!V17</f>
        <v>268</v>
      </c>
      <c r="W10" s="13">
        <f>Rev_Build!W17</f>
        <v>290</v>
      </c>
      <c r="X10" s="13">
        <f>Rev_Build!X17</f>
        <v>308.78827941176473</v>
      </c>
      <c r="Y10" s="13">
        <f>Rev_Build!Y17</f>
        <v>321.73214117647058</v>
      </c>
      <c r="Z10" s="13">
        <f>Rev_Build!Z17</f>
        <v>333.2894117647059</v>
      </c>
      <c r="AA10" s="13">
        <f>Rev_Build!AA17</f>
        <v>358.64470588235298</v>
      </c>
      <c r="AB10" s="13">
        <f>Rev_Build!AB17</f>
        <v>379.7891576470588</v>
      </c>
      <c r="AC10" s="13">
        <f>Rev_Build!AC17</f>
        <v>393.49831529411767</v>
      </c>
      <c r="AD10" s="13">
        <f>Rev_Build!AD17</f>
        <v>403.5107011764706</v>
      </c>
      <c r="AE10" s="13">
        <f>Rev_Build!AE17</f>
        <v>431.67193725490199</v>
      </c>
      <c r="AF10" s="13">
        <f>Rev_Build!AF17</f>
        <v>454.47425216470583</v>
      </c>
      <c r="AG10" s="13">
        <f>Rev_Build!AG17</f>
        <v>468.46194352941177</v>
      </c>
      <c r="AH10" s="13">
        <f>Rev_Build!AH17</f>
        <v>475.92886701176462</v>
      </c>
      <c r="AI10" s="13">
        <f>Rev_Build!AI17</f>
        <v>506.91100203921559</v>
      </c>
      <c r="AJ10" s="13">
        <f>Rev_Build!AJ17</f>
        <v>531.34272794964693</v>
      </c>
      <c r="AK10" s="13">
        <f>Rev_Build!AK17</f>
        <v>545.54272465129418</v>
      </c>
    </row>
    <row r="11" spans="1:37" x14ac:dyDescent="0.45">
      <c r="A11" s="12" t="s">
        <v>369</v>
      </c>
      <c r="B11" s="57" t="s">
        <v>439</v>
      </c>
      <c r="C11" s="12" t="s">
        <v>70</v>
      </c>
      <c r="E11" s="13">
        <f>Rev_Build!E27</f>
        <v>421</v>
      </c>
      <c r="F11" s="13">
        <f>Rev_Build!F27</f>
        <v>438</v>
      </c>
      <c r="G11" s="13">
        <f>Rev_Build!G27</f>
        <v>562</v>
      </c>
      <c r="H11" s="13">
        <f>Rev_Build!H27</f>
        <v>628</v>
      </c>
      <c r="I11" s="13">
        <f>Rev_Build!I27</f>
        <v>640</v>
      </c>
      <c r="J11" s="13">
        <f>Rev_Build!J27</f>
        <v>673</v>
      </c>
      <c r="K11" s="13">
        <f>Rev_Build!K27</f>
        <v>808</v>
      </c>
      <c r="L11" s="13">
        <f>Rev_Build!L27</f>
        <v>856</v>
      </c>
      <c r="M11" s="13">
        <f>Rev_Build!M27</f>
        <v>851</v>
      </c>
      <c r="N11" s="13">
        <f>Rev_Build!N27</f>
        <v>873</v>
      </c>
      <c r="O11" s="13">
        <f>Rev_Build!O27</f>
        <v>1023</v>
      </c>
      <c r="P11" s="13">
        <f>Rev_Build!P27</f>
        <v>1067</v>
      </c>
      <c r="Q11" s="13">
        <f>Rev_Build!Q27</f>
        <v>1090</v>
      </c>
      <c r="R11" s="13">
        <f>Rev_Build!R27</f>
        <v>1082</v>
      </c>
      <c r="S11" s="13">
        <f>Rev_Build!S27</f>
        <v>1276</v>
      </c>
      <c r="T11" s="13">
        <f>Rev_Build!T27</f>
        <v>1345</v>
      </c>
      <c r="U11" s="13">
        <f>Rev_Build!U27</f>
        <v>1334</v>
      </c>
      <c r="V11" s="13">
        <f>Rev_Build!V27</f>
        <v>1323</v>
      </c>
      <c r="W11" s="13">
        <f>Rev_Build!W27</f>
        <v>1570</v>
      </c>
      <c r="X11" s="13">
        <f>Rev_Build!X27</f>
        <v>1633.1016209558823</v>
      </c>
      <c r="Y11" s="13">
        <f>Rev_Build!Y27</f>
        <v>1608.6109162941175</v>
      </c>
      <c r="Z11" s="13">
        <f>Rev_Build!Z27</f>
        <v>1583.2700237489025</v>
      </c>
      <c r="AA11" s="13">
        <f>Rev_Build!AA27</f>
        <v>1868.3884616742077</v>
      </c>
      <c r="AB11" s="13">
        <f>Rev_Build!AB27</f>
        <v>1932.6494573811915</v>
      </c>
      <c r="AC11" s="13">
        <f>Rev_Build!AC27</f>
        <v>1893.0972435067097</v>
      </c>
      <c r="AD11" s="13">
        <f>Rev_Build!AD27</f>
        <v>1859.170507506585</v>
      </c>
      <c r="AE11" s="13">
        <f>Rev_Build!AE27</f>
        <v>2181.1343857633647</v>
      </c>
      <c r="AF11" s="13">
        <f>Rev_Build!AF27</f>
        <v>2242.9381082738964</v>
      </c>
      <c r="AG11" s="13">
        <f>Rev_Build!AG27</f>
        <v>2185.8078602964151</v>
      </c>
      <c r="AH11" s="13">
        <f>Rev_Build!AH27</f>
        <v>2137.1432049956097</v>
      </c>
      <c r="AI11" s="13">
        <f>Rev_Build!AI27</f>
        <v>2496.220459140271</v>
      </c>
      <c r="AJ11" s="13">
        <f>Rev_Build!AJ27</f>
        <v>2555.5077246600226</v>
      </c>
      <c r="AK11" s="13">
        <f>Rev_Build!AK27</f>
        <v>2480.6811866986209</v>
      </c>
    </row>
    <row r="12" spans="1:37" x14ac:dyDescent="0.45">
      <c r="A12" s="12" t="s">
        <v>382</v>
      </c>
      <c r="B12" s="57" t="s">
        <v>440</v>
      </c>
      <c r="C12" s="12" t="s">
        <v>70</v>
      </c>
      <c r="E12" s="13">
        <f>Rev_Build!E34</f>
        <v>37</v>
      </c>
      <c r="F12" s="13">
        <f>Rev_Build!F34</f>
        <v>34</v>
      </c>
      <c r="G12" s="13">
        <f>Rev_Build!G34</f>
        <v>37</v>
      </c>
      <c r="H12" s="13">
        <f>Rev_Build!H34</f>
        <v>34</v>
      </c>
      <c r="I12" s="13">
        <f>Rev_Build!I34</f>
        <v>34</v>
      </c>
      <c r="J12" s="13">
        <f>Rev_Build!J34</f>
        <v>39</v>
      </c>
      <c r="K12" s="13">
        <f>Rev_Build!K34</f>
        <v>49</v>
      </c>
      <c r="L12" s="13">
        <f>Rev_Build!L34</f>
        <v>45</v>
      </c>
      <c r="M12" s="13">
        <f>Rev_Build!M34</f>
        <v>43</v>
      </c>
      <c r="N12" s="13">
        <f>Rev_Build!N34</f>
        <v>51</v>
      </c>
      <c r="O12" s="13">
        <f>Rev_Build!O34</f>
        <v>53</v>
      </c>
      <c r="P12" s="13">
        <f>Rev_Build!P34</f>
        <v>49</v>
      </c>
      <c r="Q12" s="13">
        <f>Rev_Build!Q34</f>
        <v>48</v>
      </c>
      <c r="R12" s="13">
        <f>Rev_Build!R34</f>
        <v>46</v>
      </c>
      <c r="S12" s="13">
        <f>Rev_Build!S34</f>
        <v>47</v>
      </c>
      <c r="T12" s="13">
        <f>Rev_Build!T34</f>
        <v>44</v>
      </c>
      <c r="U12" s="13">
        <f>Rev_Build!U34</f>
        <v>43</v>
      </c>
      <c r="V12" s="13">
        <f>Rev_Build!V34</f>
        <v>39</v>
      </c>
      <c r="W12" s="13">
        <f>Rev_Build!W34</f>
        <v>48</v>
      </c>
      <c r="X12" s="13">
        <f>Rev_Build!X34</f>
        <v>44.025882352941181</v>
      </c>
      <c r="Y12" s="13">
        <f>Rev_Build!Y34</f>
        <v>46.122352941176473</v>
      </c>
      <c r="Z12" s="13">
        <f>Rev_Build!Z34</f>
        <v>38.159999999999997</v>
      </c>
      <c r="AA12" s="13">
        <f>Rev_Build!AA34</f>
        <v>50.88</v>
      </c>
      <c r="AB12" s="13">
        <f>Rev_Build!AB34</f>
        <v>44.52</v>
      </c>
      <c r="AC12" s="13">
        <f>Rev_Build!AC34</f>
        <v>46.64</v>
      </c>
      <c r="AD12" s="13">
        <f>Rev_Build!AD34</f>
        <v>37.44</v>
      </c>
      <c r="AE12" s="13">
        <f>Rev_Build!AE34</f>
        <v>49.92</v>
      </c>
      <c r="AF12" s="13">
        <f>Rev_Build!AF34</f>
        <v>43.68</v>
      </c>
      <c r="AG12" s="13">
        <f>Rev_Build!AG34</f>
        <v>45.76</v>
      </c>
      <c r="AH12" s="13">
        <f>Rev_Build!AH34</f>
        <v>36.72</v>
      </c>
      <c r="AI12" s="13">
        <f>Rev_Build!AI34</f>
        <v>48.96</v>
      </c>
      <c r="AJ12" s="13">
        <f>Rev_Build!AJ34</f>
        <v>42.84</v>
      </c>
      <c r="AK12" s="13">
        <f>Rev_Build!AK34</f>
        <v>44.88</v>
      </c>
    </row>
    <row r="13" spans="1:37" x14ac:dyDescent="0.45">
      <c r="A13" s="12" t="s">
        <v>384</v>
      </c>
      <c r="B13" s="4" t="s">
        <v>69</v>
      </c>
      <c r="C13" s="12" t="s">
        <v>70</v>
      </c>
      <c r="E13" s="56">
        <f t="shared" ref="E13:AK13" si="0">E10+E11+E12</f>
        <v>512</v>
      </c>
      <c r="F13" s="56">
        <f t="shared" si="0"/>
        <v>535</v>
      </c>
      <c r="G13" s="56">
        <f t="shared" si="0"/>
        <v>675</v>
      </c>
      <c r="H13" s="56">
        <f t="shared" si="0"/>
        <v>752</v>
      </c>
      <c r="I13" s="56">
        <f t="shared" si="0"/>
        <v>768</v>
      </c>
      <c r="J13" s="56">
        <f t="shared" si="0"/>
        <v>819</v>
      </c>
      <c r="K13" s="56">
        <f t="shared" si="0"/>
        <v>978</v>
      </c>
      <c r="L13" s="56">
        <f t="shared" si="0"/>
        <v>1032</v>
      </c>
      <c r="M13" s="56">
        <f t="shared" si="0"/>
        <v>1036</v>
      </c>
      <c r="N13" s="56">
        <f t="shared" si="0"/>
        <v>1075</v>
      </c>
      <c r="O13" s="56">
        <f t="shared" si="0"/>
        <v>1242</v>
      </c>
      <c r="P13" s="56">
        <f t="shared" si="0"/>
        <v>1305</v>
      </c>
      <c r="Q13" s="56">
        <f t="shared" si="0"/>
        <v>1338</v>
      </c>
      <c r="R13" s="56">
        <f t="shared" si="0"/>
        <v>1337</v>
      </c>
      <c r="S13" s="56">
        <f t="shared" si="0"/>
        <v>1550</v>
      </c>
      <c r="T13" s="56">
        <f t="shared" si="0"/>
        <v>1633</v>
      </c>
      <c r="U13" s="56">
        <f t="shared" si="0"/>
        <v>1633</v>
      </c>
      <c r="V13" s="56">
        <f t="shared" si="0"/>
        <v>1630</v>
      </c>
      <c r="W13" s="56">
        <f t="shared" si="0"/>
        <v>1908</v>
      </c>
      <c r="X13" s="56">
        <f t="shared" si="0"/>
        <v>1985.9157827205881</v>
      </c>
      <c r="Y13" s="56">
        <f t="shared" si="0"/>
        <v>1976.4654104117644</v>
      </c>
      <c r="Z13" s="56">
        <f t="shared" si="0"/>
        <v>1954.7194355136085</v>
      </c>
      <c r="AA13" s="56">
        <f t="shared" si="0"/>
        <v>2277.9131675565609</v>
      </c>
      <c r="AB13" s="56">
        <f t="shared" si="0"/>
        <v>2356.9586150282503</v>
      </c>
      <c r="AC13" s="56">
        <f t="shared" si="0"/>
        <v>2333.2355588008272</v>
      </c>
      <c r="AD13" s="56">
        <f t="shared" si="0"/>
        <v>2300.1212086830556</v>
      </c>
      <c r="AE13" s="56">
        <f t="shared" si="0"/>
        <v>2662.7263230182666</v>
      </c>
      <c r="AF13" s="56">
        <f t="shared" si="0"/>
        <v>2741.0923604386021</v>
      </c>
      <c r="AG13" s="56">
        <f t="shared" si="0"/>
        <v>2700.029803825827</v>
      </c>
      <c r="AH13" s="56">
        <f t="shared" si="0"/>
        <v>2649.7920720073739</v>
      </c>
      <c r="AI13" s="56">
        <f t="shared" si="0"/>
        <v>3052.0914611794865</v>
      </c>
      <c r="AJ13" s="56">
        <f t="shared" si="0"/>
        <v>3129.6904526096696</v>
      </c>
      <c r="AK13" s="56">
        <f t="shared" si="0"/>
        <v>3071.1039113499151</v>
      </c>
    </row>
    <row r="14" spans="1:37" x14ac:dyDescent="0.45">
      <c r="A14" s="21"/>
      <c r="B14" s="22" t="s">
        <v>441</v>
      </c>
      <c r="C14" s="21"/>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row>
    <row r="15" spans="1:37" x14ac:dyDescent="0.45">
      <c r="A15" s="12" t="s">
        <v>392</v>
      </c>
      <c r="B15" s="57" t="s">
        <v>344</v>
      </c>
      <c r="C15" s="12" t="s">
        <v>70</v>
      </c>
      <c r="E15" s="13">
        <f>Rev_Build!E41</f>
        <v>22</v>
      </c>
      <c r="F15" s="13">
        <f>Rev_Build!F41</f>
        <v>25</v>
      </c>
      <c r="G15" s="13">
        <f>Rev_Build!G41</f>
        <v>27</v>
      </c>
      <c r="H15" s="13">
        <f>Rev_Build!H41</f>
        <v>29</v>
      </c>
      <c r="I15" s="13">
        <f>Rev_Build!I41</f>
        <v>31</v>
      </c>
      <c r="J15" s="13">
        <f>Rev_Build!J41</f>
        <v>36</v>
      </c>
      <c r="K15" s="13">
        <f>Rev_Build!K41</f>
        <v>39</v>
      </c>
      <c r="L15" s="13">
        <f>Rev_Build!L41</f>
        <v>43</v>
      </c>
      <c r="M15" s="13">
        <f>Rev_Build!M41</f>
        <v>48</v>
      </c>
      <c r="N15" s="13">
        <f>Rev_Build!N41</f>
        <v>50</v>
      </c>
      <c r="O15" s="13">
        <f>Rev_Build!O41</f>
        <v>53</v>
      </c>
      <c r="P15" s="13">
        <f>Rev_Build!P41</f>
        <v>56</v>
      </c>
      <c r="Q15" s="13">
        <f>Rev_Build!Q41</f>
        <v>60</v>
      </c>
      <c r="R15" s="13">
        <f>Rev_Build!R41</f>
        <v>66</v>
      </c>
      <c r="S15" s="13">
        <f>Rev_Build!S41</f>
        <v>64</v>
      </c>
      <c r="T15" s="13">
        <f>Rev_Build!T41</f>
        <v>67</v>
      </c>
      <c r="U15" s="13">
        <f>Rev_Build!U41</f>
        <v>67</v>
      </c>
      <c r="V15" s="13">
        <f>Rev_Build!V41</f>
        <v>60</v>
      </c>
      <c r="W15" s="13">
        <f>Rev_Build!W41</f>
        <v>64</v>
      </c>
      <c r="X15" s="13">
        <f>Rev_Build!X41</f>
        <v>69.477362867647059</v>
      </c>
      <c r="Y15" s="13">
        <f>Rev_Build!Y41</f>
        <v>72.389731764705871</v>
      </c>
      <c r="Z15" s="13">
        <f>Rev_Build!Z41</f>
        <v>73.323670588235288</v>
      </c>
      <c r="AA15" s="13">
        <f>Rev_Build!AA41</f>
        <v>78.901835294117646</v>
      </c>
      <c r="AB15" s="13">
        <f>Rev_Build!AB41</f>
        <v>83.553614682352929</v>
      </c>
      <c r="AC15" s="13">
        <f>Rev_Build!AC41</f>
        <v>86.569629364705875</v>
      </c>
      <c r="AD15" s="13">
        <f>Rev_Build!AD41</f>
        <v>86.754800752941165</v>
      </c>
      <c r="AE15" s="13">
        <f>Rev_Build!AE41</f>
        <v>92.809466509803912</v>
      </c>
      <c r="AF15" s="13">
        <f>Rev_Build!AF41</f>
        <v>97.71196421541174</v>
      </c>
      <c r="AG15" s="13">
        <f>Rev_Build!AG41</f>
        <v>100.71931785882352</v>
      </c>
      <c r="AH15" s="13">
        <f>Rev_Build!AH41</f>
        <v>102.32470640752938</v>
      </c>
      <c r="AI15" s="13">
        <f>Rev_Build!AI41</f>
        <v>108.98586543843133</v>
      </c>
      <c r="AJ15" s="13">
        <f>Rev_Build!AJ41</f>
        <v>114.23868650917407</v>
      </c>
      <c r="AK15" s="13">
        <f>Rev_Build!AK41</f>
        <v>117.29168580002823</v>
      </c>
    </row>
    <row r="16" spans="1:37" x14ac:dyDescent="0.45">
      <c r="A16" s="12" t="s">
        <v>395</v>
      </c>
      <c r="B16" s="57" t="s">
        <v>439</v>
      </c>
      <c r="C16" s="12" t="s">
        <v>70</v>
      </c>
      <c r="E16" s="13">
        <f>Rev_Build!E43</f>
        <v>341</v>
      </c>
      <c r="F16" s="13">
        <f>Rev_Build!F43</f>
        <v>347</v>
      </c>
      <c r="G16" s="13">
        <f>Rev_Build!G43</f>
        <v>448</v>
      </c>
      <c r="H16" s="13">
        <f>Rev_Build!H43</f>
        <v>494</v>
      </c>
      <c r="I16" s="13">
        <f>Rev_Build!I43</f>
        <v>503</v>
      </c>
      <c r="J16" s="13">
        <f>Rev_Build!J43</f>
        <v>523</v>
      </c>
      <c r="K16" s="13">
        <f>Rev_Build!K43</f>
        <v>631</v>
      </c>
      <c r="L16" s="13">
        <f>Rev_Build!L43</f>
        <v>674</v>
      </c>
      <c r="M16" s="13">
        <f>Rev_Build!M43</f>
        <v>675</v>
      </c>
      <c r="N16" s="13">
        <f>Rev_Build!N43</f>
        <v>683</v>
      </c>
      <c r="O16" s="13">
        <f>Rev_Build!O43</f>
        <v>806</v>
      </c>
      <c r="P16" s="13">
        <f>Rev_Build!P43</f>
        <v>835</v>
      </c>
      <c r="Q16" s="13">
        <f>Rev_Build!Q43</f>
        <v>852</v>
      </c>
      <c r="R16" s="13">
        <f>Rev_Build!R43</f>
        <v>831</v>
      </c>
      <c r="S16" s="13">
        <f>Rev_Build!S43</f>
        <v>992</v>
      </c>
      <c r="T16" s="13">
        <f>Rev_Build!T43</f>
        <v>1032</v>
      </c>
      <c r="U16" s="13">
        <f>Rev_Build!U43</f>
        <v>1036</v>
      </c>
      <c r="V16" s="13">
        <f>Rev_Build!V43</f>
        <v>1011</v>
      </c>
      <c r="W16" s="13">
        <f>Rev_Build!W43</f>
        <v>1211</v>
      </c>
      <c r="X16" s="13">
        <f>Rev_Build!X43</f>
        <v>1246.6362499080885</v>
      </c>
      <c r="Y16" s="13">
        <f>Rev_Build!Y43</f>
        <v>1242.7879901029412</v>
      </c>
      <c r="Z16" s="13">
        <f>Rev_Build!Z43</f>
        <v>1205.9465780070236</v>
      </c>
      <c r="AA16" s="13">
        <f>Rev_Build!AA43</f>
        <v>1436.4396199547509</v>
      </c>
      <c r="AB16" s="13">
        <f>Rev_Build!AB43</f>
        <v>1470.5873954791023</v>
      </c>
      <c r="AC16" s="13">
        <f>Rev_Build!AC43</f>
        <v>1457.835682293934</v>
      </c>
      <c r="AD16" s="13">
        <f>Rev_Build!AD43</f>
        <v>1414.2263603336264</v>
      </c>
      <c r="AE16" s="13">
        <f>Rev_Build!AE43</f>
        <v>1674.637328295626</v>
      </c>
      <c r="AF16" s="13">
        <f>Rev_Build!AF43</f>
        <v>1704.4886981746326</v>
      </c>
      <c r="AG16" s="13">
        <f>Rev_Build!AG43</f>
        <v>1681.0103098965992</v>
      </c>
      <c r="AH16" s="13">
        <f>Rev_Build!AH43</f>
        <v>1623.5422495258999</v>
      </c>
      <c r="AI16" s="13">
        <f>Rev_Build!AI43</f>
        <v>1914.0051112803753</v>
      </c>
      <c r="AJ16" s="13">
        <f>Rev_Build!AJ43</f>
        <v>1939.5304836168734</v>
      </c>
      <c r="AK16" s="13">
        <f>Rev_Build!AK43</f>
        <v>1905.2662923055148</v>
      </c>
    </row>
    <row r="17" spans="1:37" x14ac:dyDescent="0.45">
      <c r="A17" s="12" t="s">
        <v>408</v>
      </c>
      <c r="B17" s="57" t="s">
        <v>440</v>
      </c>
      <c r="C17" s="12" t="s">
        <v>70</v>
      </c>
      <c r="E17" s="13">
        <f>Rev_Build!E50</f>
        <v>75</v>
      </c>
      <c r="F17" s="13">
        <f>Rev_Build!F50</f>
        <v>73</v>
      </c>
      <c r="G17" s="13">
        <f>Rev_Build!G50</f>
        <v>86</v>
      </c>
      <c r="H17" s="13">
        <f>Rev_Build!H50</f>
        <v>77</v>
      </c>
      <c r="I17" s="13">
        <f>Rev_Build!I50</f>
        <v>75</v>
      </c>
      <c r="J17" s="13">
        <f>Rev_Build!J50</f>
        <v>85</v>
      </c>
      <c r="K17" s="13">
        <f>Rev_Build!K50</f>
        <v>99</v>
      </c>
      <c r="L17" s="13">
        <f>Rev_Build!L50</f>
        <v>88</v>
      </c>
      <c r="M17" s="13">
        <f>Rev_Build!M50</f>
        <v>86</v>
      </c>
      <c r="N17" s="13">
        <f>Rev_Build!N50</f>
        <v>92</v>
      </c>
      <c r="O17" s="13">
        <f>Rev_Build!O50</f>
        <v>96</v>
      </c>
      <c r="P17" s="13">
        <f>Rev_Build!P50</f>
        <v>91</v>
      </c>
      <c r="Q17" s="13">
        <f>Rev_Build!Q50</f>
        <v>92</v>
      </c>
      <c r="R17" s="13">
        <f>Rev_Build!R50</f>
        <v>93</v>
      </c>
      <c r="S17" s="13">
        <f>Rev_Build!S50</f>
        <v>101</v>
      </c>
      <c r="T17" s="13">
        <f>Rev_Build!T50</f>
        <v>101</v>
      </c>
      <c r="U17" s="13">
        <f>Rev_Build!U50</f>
        <v>105</v>
      </c>
      <c r="V17" s="13">
        <f>Rev_Build!V50</f>
        <v>111</v>
      </c>
      <c r="W17" s="13">
        <f>Rev_Build!W50</f>
        <v>116</v>
      </c>
      <c r="X17" s="13">
        <f>Rev_Build!X50</f>
        <v>110.06470588235294</v>
      </c>
      <c r="Y17" s="13">
        <f>Rev_Build!Y50</f>
        <v>115.30588235294118</v>
      </c>
      <c r="Z17" s="13">
        <f>Rev_Build!Z50</f>
        <v>95.76</v>
      </c>
      <c r="AA17" s="13">
        <f>Rev_Build!AA50</f>
        <v>127.68</v>
      </c>
      <c r="AB17" s="13">
        <f>Rev_Build!AB50</f>
        <v>111.72</v>
      </c>
      <c r="AC17" s="13">
        <f>Rev_Build!AC50</f>
        <v>117.04</v>
      </c>
      <c r="AD17" s="13">
        <f>Rev_Build!AD50</f>
        <v>94.32</v>
      </c>
      <c r="AE17" s="13">
        <f>Rev_Build!AE50</f>
        <v>125.76</v>
      </c>
      <c r="AF17" s="13">
        <f>Rev_Build!AF50</f>
        <v>110.04</v>
      </c>
      <c r="AG17" s="13">
        <f>Rev_Build!AG50</f>
        <v>115.28</v>
      </c>
      <c r="AH17" s="13">
        <f>Rev_Build!AH50</f>
        <v>92.88</v>
      </c>
      <c r="AI17" s="13">
        <f>Rev_Build!AI50</f>
        <v>123.84</v>
      </c>
      <c r="AJ17" s="13">
        <f>Rev_Build!AJ50</f>
        <v>108.36</v>
      </c>
      <c r="AK17" s="13">
        <f>Rev_Build!AK50</f>
        <v>113.52</v>
      </c>
    </row>
    <row r="18" spans="1:37" x14ac:dyDescent="0.45">
      <c r="A18" s="12" t="s">
        <v>417</v>
      </c>
      <c r="B18" s="57" t="s">
        <v>442</v>
      </c>
      <c r="C18" s="12" t="s">
        <v>70</v>
      </c>
      <c r="E18" s="13">
        <f>Rev_Build!E55</f>
        <v>1</v>
      </c>
      <c r="F18" s="13">
        <f>Rev_Build!F55</f>
        <v>1</v>
      </c>
      <c r="G18" s="13">
        <f>Rev_Build!G55</f>
        <v>1</v>
      </c>
      <c r="H18" s="13">
        <f>Rev_Build!H55</f>
        <v>1</v>
      </c>
      <c r="I18" s="13">
        <f>Rev_Build!I55</f>
        <v>1</v>
      </c>
      <c r="J18" s="13">
        <f>Rev_Build!J55</f>
        <v>1</v>
      </c>
      <c r="K18" s="13">
        <f>Rev_Build!K55</f>
        <v>1</v>
      </c>
      <c r="L18" s="13">
        <f>Rev_Build!L55</f>
        <v>1</v>
      </c>
      <c r="M18" s="13">
        <f>Rev_Build!M55</f>
        <v>1</v>
      </c>
      <c r="N18" s="13">
        <f>Rev_Build!N55</f>
        <v>1</v>
      </c>
      <c r="O18" s="13">
        <f>Rev_Build!O55</f>
        <v>1</v>
      </c>
      <c r="P18" s="13">
        <f>Rev_Build!P55</f>
        <v>1</v>
      </c>
      <c r="Q18" s="13">
        <f>Rev_Build!Q55</f>
        <v>1</v>
      </c>
      <c r="R18" s="13">
        <f>Rev_Build!R55</f>
        <v>1</v>
      </c>
      <c r="S18" s="13">
        <f>Rev_Build!S55</f>
        <v>1</v>
      </c>
      <c r="T18" s="13">
        <f>Rev_Build!T55</f>
        <v>1</v>
      </c>
      <c r="U18" s="13">
        <f>Rev_Build!U55</f>
        <v>2</v>
      </c>
      <c r="V18" s="13">
        <f>Rev_Build!V55</f>
        <v>1</v>
      </c>
      <c r="W18" s="13">
        <f>Rev_Build!W55</f>
        <v>1</v>
      </c>
      <c r="X18" s="13">
        <f>Rev_Build!X55</f>
        <v>1</v>
      </c>
      <c r="Y18" s="13">
        <f>Rev_Build!Y55</f>
        <v>1</v>
      </c>
      <c r="Z18" s="13">
        <f>Rev_Build!Z55</f>
        <v>1</v>
      </c>
      <c r="AA18" s="13">
        <f>Rev_Build!AA55</f>
        <v>1</v>
      </c>
      <c r="AB18" s="13">
        <f>Rev_Build!AB55</f>
        <v>1</v>
      </c>
      <c r="AC18" s="13">
        <f>Rev_Build!AC55</f>
        <v>1</v>
      </c>
      <c r="AD18" s="13">
        <f>Rev_Build!AD55</f>
        <v>1</v>
      </c>
      <c r="AE18" s="13">
        <f>Rev_Build!AE55</f>
        <v>1</v>
      </c>
      <c r="AF18" s="13">
        <f>Rev_Build!AF55</f>
        <v>1</v>
      </c>
      <c r="AG18" s="13">
        <f>Rev_Build!AG55</f>
        <v>1</v>
      </c>
      <c r="AH18" s="13">
        <f>Rev_Build!AH55</f>
        <v>1</v>
      </c>
      <c r="AI18" s="13">
        <f>Rev_Build!AI55</f>
        <v>1</v>
      </c>
      <c r="AJ18" s="13">
        <f>Rev_Build!AJ55</f>
        <v>1</v>
      </c>
      <c r="AK18" s="13">
        <f>Rev_Build!AK55</f>
        <v>1</v>
      </c>
    </row>
    <row r="19" spans="1:37" x14ac:dyDescent="0.45">
      <c r="A19" s="12" t="s">
        <v>443</v>
      </c>
      <c r="B19" s="4" t="s">
        <v>444</v>
      </c>
      <c r="C19" s="12" t="s">
        <v>70</v>
      </c>
      <c r="E19" s="56">
        <f t="shared" ref="E19:AK19" si="1">E15+E16+E17+E18</f>
        <v>439</v>
      </c>
      <c r="F19" s="56">
        <f t="shared" si="1"/>
        <v>446</v>
      </c>
      <c r="G19" s="56">
        <f t="shared" si="1"/>
        <v>562</v>
      </c>
      <c r="H19" s="56">
        <f t="shared" si="1"/>
        <v>601</v>
      </c>
      <c r="I19" s="56">
        <f t="shared" si="1"/>
        <v>610</v>
      </c>
      <c r="J19" s="56">
        <f t="shared" si="1"/>
        <v>645</v>
      </c>
      <c r="K19" s="56">
        <f t="shared" si="1"/>
        <v>770</v>
      </c>
      <c r="L19" s="56">
        <f t="shared" si="1"/>
        <v>806</v>
      </c>
      <c r="M19" s="56">
        <f t="shared" si="1"/>
        <v>810</v>
      </c>
      <c r="N19" s="56">
        <f t="shared" si="1"/>
        <v>826</v>
      </c>
      <c r="O19" s="56">
        <f t="shared" si="1"/>
        <v>956</v>
      </c>
      <c r="P19" s="56">
        <f t="shared" si="1"/>
        <v>983</v>
      </c>
      <c r="Q19" s="56">
        <f t="shared" si="1"/>
        <v>1005</v>
      </c>
      <c r="R19" s="56">
        <f t="shared" si="1"/>
        <v>991</v>
      </c>
      <c r="S19" s="56">
        <f t="shared" si="1"/>
        <v>1158</v>
      </c>
      <c r="T19" s="56">
        <f t="shared" si="1"/>
        <v>1201</v>
      </c>
      <c r="U19" s="56">
        <f t="shared" si="1"/>
        <v>1210</v>
      </c>
      <c r="V19" s="56">
        <f t="shared" si="1"/>
        <v>1183</v>
      </c>
      <c r="W19" s="56">
        <f t="shared" si="1"/>
        <v>1392</v>
      </c>
      <c r="X19" s="56">
        <f t="shared" si="1"/>
        <v>1427.1783186580885</v>
      </c>
      <c r="Y19" s="56">
        <f t="shared" si="1"/>
        <v>1431.4836042205882</v>
      </c>
      <c r="Z19" s="56">
        <f t="shared" si="1"/>
        <v>1376.0302485952589</v>
      </c>
      <c r="AA19" s="56">
        <f t="shared" si="1"/>
        <v>1644.0214552488687</v>
      </c>
      <c r="AB19" s="56">
        <f t="shared" si="1"/>
        <v>1666.8610101614552</v>
      </c>
      <c r="AC19" s="56">
        <f t="shared" si="1"/>
        <v>1662.4453116586399</v>
      </c>
      <c r="AD19" s="56">
        <f t="shared" si="1"/>
        <v>1596.3011610865676</v>
      </c>
      <c r="AE19" s="56">
        <f t="shared" si="1"/>
        <v>1894.20679480543</v>
      </c>
      <c r="AF19" s="56">
        <f t="shared" si="1"/>
        <v>1913.2406623900442</v>
      </c>
      <c r="AG19" s="56">
        <f t="shared" si="1"/>
        <v>1898.0096277554228</v>
      </c>
      <c r="AH19" s="56">
        <f t="shared" si="1"/>
        <v>1819.7469559334295</v>
      </c>
      <c r="AI19" s="56">
        <f t="shared" si="1"/>
        <v>2147.8309767188066</v>
      </c>
      <c r="AJ19" s="56">
        <f t="shared" si="1"/>
        <v>2163.1291701260475</v>
      </c>
      <c r="AK19" s="56">
        <f t="shared" si="1"/>
        <v>2137.077978105543</v>
      </c>
    </row>
    <row r="20" spans="1:37" x14ac:dyDescent="0.45">
      <c r="A20" s="12" t="s">
        <v>445</v>
      </c>
      <c r="B20" s="4" t="s">
        <v>446</v>
      </c>
      <c r="C20" s="12" t="s">
        <v>70</v>
      </c>
      <c r="E20" s="49">
        <f t="shared" ref="E20:AK20" si="2">E13-E19</f>
        <v>73</v>
      </c>
      <c r="F20" s="49">
        <f t="shared" si="2"/>
        <v>89</v>
      </c>
      <c r="G20" s="49">
        <f t="shared" si="2"/>
        <v>113</v>
      </c>
      <c r="H20" s="49">
        <f t="shared" si="2"/>
        <v>151</v>
      </c>
      <c r="I20" s="49">
        <f t="shared" si="2"/>
        <v>158</v>
      </c>
      <c r="J20" s="49">
        <f t="shared" si="2"/>
        <v>174</v>
      </c>
      <c r="K20" s="49">
        <f t="shared" si="2"/>
        <v>208</v>
      </c>
      <c r="L20" s="49">
        <f t="shared" si="2"/>
        <v>226</v>
      </c>
      <c r="M20" s="49">
        <f t="shared" si="2"/>
        <v>226</v>
      </c>
      <c r="N20" s="49">
        <f t="shared" si="2"/>
        <v>249</v>
      </c>
      <c r="O20" s="49">
        <f t="shared" si="2"/>
        <v>286</v>
      </c>
      <c r="P20" s="49">
        <f t="shared" si="2"/>
        <v>322</v>
      </c>
      <c r="Q20" s="49">
        <f t="shared" si="2"/>
        <v>333</v>
      </c>
      <c r="R20" s="49">
        <f t="shared" si="2"/>
        <v>346</v>
      </c>
      <c r="S20" s="49">
        <f t="shared" si="2"/>
        <v>392</v>
      </c>
      <c r="T20" s="49">
        <f t="shared" si="2"/>
        <v>432</v>
      </c>
      <c r="U20" s="49">
        <f t="shared" si="2"/>
        <v>423</v>
      </c>
      <c r="V20" s="49">
        <f t="shared" si="2"/>
        <v>447</v>
      </c>
      <c r="W20" s="49">
        <f t="shared" si="2"/>
        <v>516</v>
      </c>
      <c r="X20" s="49">
        <f t="shared" si="2"/>
        <v>558.73746406249961</v>
      </c>
      <c r="Y20" s="49">
        <f t="shared" si="2"/>
        <v>544.98180619117625</v>
      </c>
      <c r="Z20" s="49">
        <f t="shared" si="2"/>
        <v>578.68918691834961</v>
      </c>
      <c r="AA20" s="49">
        <f t="shared" si="2"/>
        <v>633.89171230769216</v>
      </c>
      <c r="AB20" s="49">
        <f t="shared" si="2"/>
        <v>690.09760486679511</v>
      </c>
      <c r="AC20" s="49">
        <f t="shared" si="2"/>
        <v>670.79024714218735</v>
      </c>
      <c r="AD20" s="49">
        <f t="shared" si="2"/>
        <v>703.82004759648794</v>
      </c>
      <c r="AE20" s="49">
        <f t="shared" si="2"/>
        <v>768.51952821283658</v>
      </c>
      <c r="AF20" s="49">
        <f t="shared" si="2"/>
        <v>827.85169804855786</v>
      </c>
      <c r="AG20" s="49">
        <f t="shared" si="2"/>
        <v>802.0201760704042</v>
      </c>
      <c r="AH20" s="49">
        <f t="shared" si="2"/>
        <v>830.04511607394443</v>
      </c>
      <c r="AI20" s="49">
        <f t="shared" si="2"/>
        <v>904.26048446067989</v>
      </c>
      <c r="AJ20" s="49">
        <f t="shared" si="2"/>
        <v>966.56128248362211</v>
      </c>
      <c r="AK20" s="49">
        <f t="shared" si="2"/>
        <v>934.02593324437203</v>
      </c>
    </row>
    <row r="21" spans="1:37" x14ac:dyDescent="0.45">
      <c r="A21" s="12" t="s">
        <v>447</v>
      </c>
      <c r="B21" s="3" t="s">
        <v>448</v>
      </c>
      <c r="C21" s="12" t="s">
        <v>73</v>
      </c>
      <c r="E21" s="51">
        <f t="shared" ref="E21:AK21" si="3">E20/E13</f>
        <v>0.142578125</v>
      </c>
      <c r="F21" s="51">
        <f t="shared" si="3"/>
        <v>0.16635514018691588</v>
      </c>
      <c r="G21" s="51">
        <f t="shared" si="3"/>
        <v>0.16740740740740739</v>
      </c>
      <c r="H21" s="51">
        <f t="shared" si="3"/>
        <v>0.20079787234042554</v>
      </c>
      <c r="I21" s="51">
        <f t="shared" si="3"/>
        <v>0.20572916666666666</v>
      </c>
      <c r="J21" s="51">
        <f t="shared" si="3"/>
        <v>0.21245421245421245</v>
      </c>
      <c r="K21" s="51">
        <f t="shared" si="3"/>
        <v>0.21267893660531698</v>
      </c>
      <c r="L21" s="51">
        <f t="shared" si="3"/>
        <v>0.2189922480620155</v>
      </c>
      <c r="M21" s="51">
        <f t="shared" si="3"/>
        <v>0.21814671814671815</v>
      </c>
      <c r="N21" s="51">
        <f t="shared" si="3"/>
        <v>0.23162790697674418</v>
      </c>
      <c r="O21" s="51">
        <f t="shared" si="3"/>
        <v>0.23027375201288244</v>
      </c>
      <c r="P21" s="51">
        <f t="shared" si="3"/>
        <v>0.24674329501915709</v>
      </c>
      <c r="Q21" s="51">
        <f t="shared" si="3"/>
        <v>0.24887892376681614</v>
      </c>
      <c r="R21" s="51">
        <f t="shared" si="3"/>
        <v>0.25878833208676139</v>
      </c>
      <c r="S21" s="51">
        <f t="shared" si="3"/>
        <v>0.25290322580645164</v>
      </c>
      <c r="T21" s="51">
        <f t="shared" si="3"/>
        <v>0.26454378444580529</v>
      </c>
      <c r="U21" s="51">
        <f t="shared" si="3"/>
        <v>0.25903245560318433</v>
      </c>
      <c r="V21" s="51">
        <f t="shared" si="3"/>
        <v>0.27423312883435585</v>
      </c>
      <c r="W21" s="51">
        <f t="shared" si="3"/>
        <v>0.27044025157232704</v>
      </c>
      <c r="X21" s="51">
        <f t="shared" si="3"/>
        <v>0.28135002950480714</v>
      </c>
      <c r="Y21" s="51">
        <f t="shared" si="3"/>
        <v>0.27573556477147665</v>
      </c>
      <c r="Z21" s="51">
        <f t="shared" si="3"/>
        <v>0.29604718529147755</v>
      </c>
      <c r="AA21" s="51">
        <f t="shared" si="3"/>
        <v>0.27827738183174294</v>
      </c>
      <c r="AB21" s="51">
        <f t="shared" si="3"/>
        <v>0.29279156641387344</v>
      </c>
      <c r="AC21" s="51">
        <f t="shared" si="3"/>
        <v>0.28749358143973336</v>
      </c>
      <c r="AD21" s="51">
        <f t="shared" si="3"/>
        <v>0.30599259071197521</v>
      </c>
      <c r="AE21" s="51">
        <f t="shared" si="3"/>
        <v>0.28862129824205912</v>
      </c>
      <c r="AF21" s="51">
        <f t="shared" si="3"/>
        <v>0.3020152512905816</v>
      </c>
      <c r="AG21" s="51">
        <f t="shared" si="3"/>
        <v>0.29704123077974021</v>
      </c>
      <c r="AH21" s="51">
        <f t="shared" si="3"/>
        <v>0.31324915069473214</v>
      </c>
      <c r="AI21" s="51">
        <f t="shared" si="3"/>
        <v>0.29627568372778273</v>
      </c>
      <c r="AJ21" s="51">
        <f t="shared" si="3"/>
        <v>0.3088360644988587</v>
      </c>
      <c r="AK21" s="51">
        <f t="shared" si="3"/>
        <v>0.30413361455875243</v>
      </c>
    </row>
    <row r="22" spans="1:37" x14ac:dyDescent="0.45">
      <c r="A22" s="21"/>
      <c r="B22" s="22" t="s">
        <v>449</v>
      </c>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row>
    <row r="23" spans="1:37" x14ac:dyDescent="0.45">
      <c r="A23" s="12" t="s">
        <v>450</v>
      </c>
      <c r="B23" s="57" t="s">
        <v>451</v>
      </c>
      <c r="C23" s="12" t="s">
        <v>70</v>
      </c>
      <c r="E23" s="13">
        <f>Hist_Q!E25</f>
        <v>60</v>
      </c>
      <c r="F23" s="13">
        <f>Hist_Q!F25</f>
        <v>71</v>
      </c>
      <c r="G23" s="13">
        <f>Hist_Q!G25</f>
        <v>77</v>
      </c>
      <c r="H23" s="13">
        <f>Hist_Q!H25</f>
        <v>84</v>
      </c>
      <c r="I23" s="13">
        <f>Hist_Q!I25</f>
        <v>87</v>
      </c>
      <c r="J23" s="13">
        <f>Hist_Q!J25</f>
        <v>99</v>
      </c>
      <c r="K23" s="13">
        <f>Hist_Q!K25</f>
        <v>100</v>
      </c>
      <c r="L23" s="13">
        <f>Hist_Q!L25</f>
        <v>100</v>
      </c>
      <c r="M23" s="13">
        <f>Hist_Q!M25</f>
        <v>102</v>
      </c>
      <c r="N23" s="13">
        <f>Hist_Q!N25</f>
        <v>107</v>
      </c>
      <c r="O23" s="13">
        <f>Hist_Q!O25</f>
        <v>115</v>
      </c>
      <c r="P23" s="13">
        <f>Hist_Q!P25</f>
        <v>119</v>
      </c>
      <c r="Q23" s="13">
        <f>Hist_Q!Q25</f>
        <v>130</v>
      </c>
      <c r="R23" s="13">
        <f>Hist_Q!R25</f>
        <v>133</v>
      </c>
      <c r="S23" s="13">
        <f>Hist_Q!S25</f>
        <v>141</v>
      </c>
      <c r="T23" s="13">
        <f>Hist_Q!T25</f>
        <v>144</v>
      </c>
      <c r="U23" s="13">
        <f>Hist_Q!U25</f>
        <v>153</v>
      </c>
      <c r="V23" s="13">
        <f>Hist_Q!V25</f>
        <v>156</v>
      </c>
      <c r="W23" s="13">
        <f>Hist_Q!W25</f>
        <v>166</v>
      </c>
      <c r="X23" s="50">
        <f t="shared" ref="X23:AK23" si="4">X38+X46*X45</f>
        <v>173.43834536776802</v>
      </c>
      <c r="Y23" s="50">
        <f t="shared" si="4"/>
        <v>177.40428969595084</v>
      </c>
      <c r="Z23" s="50">
        <f t="shared" si="4"/>
        <v>193.64147155791119</v>
      </c>
      <c r="AA23" s="50">
        <f t="shared" si="4"/>
        <v>199.83280794275331</v>
      </c>
      <c r="AB23" s="50">
        <f t="shared" si="4"/>
        <v>205.75469803324128</v>
      </c>
      <c r="AC23" s="50">
        <f t="shared" si="4"/>
        <v>210.01195771524741</v>
      </c>
      <c r="AD23" s="50">
        <f t="shared" si="4"/>
        <v>226.01443292117688</v>
      </c>
      <c r="AE23" s="50">
        <f t="shared" si="4"/>
        <v>232.55931547209158</v>
      </c>
      <c r="AF23" s="50">
        <f t="shared" si="4"/>
        <v>238.75830443789533</v>
      </c>
      <c r="AG23" s="50">
        <f t="shared" si="4"/>
        <v>243.14398181819851</v>
      </c>
      <c r="AH23" s="50">
        <f t="shared" si="4"/>
        <v>259.93208789769204</v>
      </c>
      <c r="AI23" s="50">
        <f t="shared" si="4"/>
        <v>266.79416792398519</v>
      </c>
      <c r="AJ23" s="50">
        <f t="shared" si="4"/>
        <v>273.24707927636007</v>
      </c>
      <c r="AK23" s="50">
        <f t="shared" si="4"/>
        <v>277.76400417615912</v>
      </c>
    </row>
    <row r="24" spans="1:37" x14ac:dyDescent="0.45">
      <c r="A24" s="12" t="s">
        <v>452</v>
      </c>
      <c r="B24" s="57" t="s">
        <v>453</v>
      </c>
      <c r="C24" s="12" t="s">
        <v>70</v>
      </c>
      <c r="E24" s="13">
        <f>Hist_Q!E26</f>
        <v>50</v>
      </c>
      <c r="F24" s="13">
        <f>Hist_Q!F26</f>
        <v>62</v>
      </c>
      <c r="G24" s="13">
        <f>Hist_Q!G26</f>
        <v>67</v>
      </c>
      <c r="H24" s="13">
        <f>Hist_Q!H26</f>
        <v>74</v>
      </c>
      <c r="I24" s="13">
        <f>Hist_Q!I26</f>
        <v>79</v>
      </c>
      <c r="J24" s="13">
        <f>Hist_Q!J26</f>
        <v>85</v>
      </c>
      <c r="K24" s="13">
        <f>Hist_Q!K26</f>
        <v>92</v>
      </c>
      <c r="L24" s="13">
        <f>Hist_Q!L26</f>
        <v>87</v>
      </c>
      <c r="M24" s="13">
        <f>Hist_Q!M26</f>
        <v>94</v>
      </c>
      <c r="N24" s="13">
        <f>Hist_Q!N26</f>
        <v>83</v>
      </c>
      <c r="O24" s="13">
        <f>Hist_Q!O26</f>
        <v>87</v>
      </c>
      <c r="P24" s="13">
        <f>Hist_Q!P26</f>
        <v>89</v>
      </c>
      <c r="Q24" s="13">
        <f>Hist_Q!Q26</f>
        <v>93</v>
      </c>
      <c r="R24" s="13">
        <f>Hist_Q!R26</f>
        <v>84</v>
      </c>
      <c r="S24" s="13">
        <f>Hist_Q!S26</f>
        <v>91</v>
      </c>
      <c r="T24" s="13">
        <f>Hist_Q!T26</f>
        <v>102</v>
      </c>
      <c r="U24" s="13">
        <f>Hist_Q!U26</f>
        <v>97</v>
      </c>
      <c r="V24" s="13">
        <f>Hist_Q!V26</f>
        <v>97</v>
      </c>
      <c r="W24" s="13">
        <f>Hist_Q!W26</f>
        <v>109</v>
      </c>
      <c r="X24" s="50">
        <f t="shared" ref="X24:AK24" si="5">X41+X47*X45</f>
        <v>115.73764419262768</v>
      </c>
      <c r="Y24" s="50">
        <f t="shared" si="5"/>
        <v>116.56580506791271</v>
      </c>
      <c r="Z24" s="50">
        <f t="shared" si="5"/>
        <v>112.20044032746661</v>
      </c>
      <c r="AA24" s="50">
        <f t="shared" si="5"/>
        <v>129.1396545390634</v>
      </c>
      <c r="AB24" s="50">
        <f t="shared" si="5"/>
        <v>132.49068181107691</v>
      </c>
      <c r="AC24" s="50">
        <f t="shared" si="5"/>
        <v>133.42263381447711</v>
      </c>
      <c r="AD24" s="50">
        <f t="shared" si="5"/>
        <v>127.09122748355003</v>
      </c>
      <c r="AE24" s="50">
        <f t="shared" si="5"/>
        <v>146.08334028171049</v>
      </c>
      <c r="AF24" s="50">
        <f t="shared" si="5"/>
        <v>149.69458273222529</v>
      </c>
      <c r="AG24" s="50">
        <f t="shared" si="5"/>
        <v>150.65772907172231</v>
      </c>
      <c r="AH24" s="50">
        <f t="shared" si="5"/>
        <v>142.19299147564954</v>
      </c>
      <c r="AI24" s="50">
        <f t="shared" si="5"/>
        <v>163.25434691004475</v>
      </c>
      <c r="AJ24" s="50">
        <f t="shared" si="5"/>
        <v>167.09392779474791</v>
      </c>
      <c r="AK24" s="50">
        <f t="shared" si="5"/>
        <v>168.10073005745818</v>
      </c>
    </row>
    <row r="25" spans="1:37" x14ac:dyDescent="0.45">
      <c r="A25" s="12" t="s">
        <v>454</v>
      </c>
      <c r="B25" s="57" t="s">
        <v>455</v>
      </c>
      <c r="C25" s="12" t="s">
        <v>70</v>
      </c>
      <c r="E25" s="13">
        <f>Hist_Q!E27</f>
        <v>79</v>
      </c>
      <c r="F25" s="13">
        <f>Hist_Q!F27</f>
        <v>57</v>
      </c>
      <c r="G25" s="13">
        <f>Hist_Q!G27</f>
        <v>68</v>
      </c>
      <c r="H25" s="13">
        <f>Hist_Q!H27</f>
        <v>78</v>
      </c>
      <c r="I25" s="13">
        <f>Hist_Q!I27</f>
        <v>91</v>
      </c>
      <c r="J25" s="13">
        <f>Hist_Q!J27</f>
        <v>82</v>
      </c>
      <c r="K25" s="13">
        <f>Hist_Q!K27</f>
        <v>96</v>
      </c>
      <c r="L25" s="13">
        <f>Hist_Q!L27</f>
        <v>98</v>
      </c>
      <c r="M25" s="13">
        <f>Hist_Q!M27</f>
        <v>86</v>
      </c>
      <c r="N25" s="13">
        <f>Hist_Q!N27</f>
        <v>74</v>
      </c>
      <c r="O25" s="13">
        <f>Hist_Q!O27</f>
        <v>75</v>
      </c>
      <c r="P25" s="13">
        <f>Hist_Q!P27</f>
        <v>80</v>
      </c>
      <c r="Q25" s="13">
        <f>Hist_Q!Q27</f>
        <v>78</v>
      </c>
      <c r="R25" s="13">
        <f>Hist_Q!R27</f>
        <v>79</v>
      </c>
      <c r="S25" s="13">
        <f>Hist_Q!S27</f>
        <v>79</v>
      </c>
      <c r="T25" s="13">
        <f>Hist_Q!T27</f>
        <v>102</v>
      </c>
      <c r="U25" s="13">
        <f>Hist_Q!U27</f>
        <v>84</v>
      </c>
      <c r="V25" s="13">
        <f>Hist_Q!V27</f>
        <v>84</v>
      </c>
      <c r="W25" s="13">
        <f>Hist_Q!W27</f>
        <v>89</v>
      </c>
      <c r="X25" s="50">
        <f t="shared" ref="X25:AK25" si="6">X42+X48*X45</f>
        <v>108.56237449291309</v>
      </c>
      <c r="Y25" s="50">
        <f t="shared" si="6"/>
        <v>98.149605496859778</v>
      </c>
      <c r="Z25" s="50">
        <f t="shared" si="6"/>
        <v>96.959103825951956</v>
      </c>
      <c r="AA25" s="50">
        <f t="shared" si="6"/>
        <v>104.69236163195374</v>
      </c>
      <c r="AB25" s="50">
        <f t="shared" si="6"/>
        <v>122.07031444964306</v>
      </c>
      <c r="AC25" s="50">
        <f t="shared" si="6"/>
        <v>110.27678933198921</v>
      </c>
      <c r="AD25" s="50">
        <f t="shared" si="6"/>
        <v>108.21465096364953</v>
      </c>
      <c r="AE25" s="50">
        <f t="shared" si="6"/>
        <v>116.73728479438027</v>
      </c>
      <c r="AF25" s="50">
        <f t="shared" si="6"/>
        <v>135.93376880523545</v>
      </c>
      <c r="AG25" s="50">
        <f t="shared" si="6"/>
        <v>122.7748554194884</v>
      </c>
      <c r="AH25" s="50">
        <f t="shared" si="6"/>
        <v>119.36653859819819</v>
      </c>
      <c r="AI25" s="50">
        <f t="shared" si="6"/>
        <v>128.64168896793089</v>
      </c>
      <c r="AJ25" s="50">
        <f t="shared" si="6"/>
        <v>149.64557766477606</v>
      </c>
      <c r="AK25" s="50">
        <f t="shared" si="6"/>
        <v>135.11309336284617</v>
      </c>
    </row>
    <row r="26" spans="1:37" x14ac:dyDescent="0.45">
      <c r="A26" s="12" t="s">
        <v>456</v>
      </c>
      <c r="B26" s="57" t="s">
        <v>457</v>
      </c>
      <c r="C26" s="12" t="s">
        <v>70</v>
      </c>
      <c r="E26" s="13">
        <f>Hist_Q!E28</f>
        <v>0</v>
      </c>
      <c r="F26" s="13">
        <f>Hist_Q!F28</f>
        <v>0</v>
      </c>
      <c r="G26" s="13">
        <f>Hist_Q!G28</f>
        <v>0</v>
      </c>
      <c r="H26" s="13">
        <f>Hist_Q!H28</f>
        <v>0</v>
      </c>
      <c r="I26" s="13">
        <f>Hist_Q!I28</f>
        <v>0</v>
      </c>
      <c r="J26" s="13">
        <f>Hist_Q!J28</f>
        <v>0</v>
      </c>
      <c r="K26" s="13">
        <f>Hist_Q!K28</f>
        <v>0</v>
      </c>
      <c r="L26" s="13">
        <f>Hist_Q!L28</f>
        <v>0</v>
      </c>
      <c r="M26" s="13">
        <f>Hist_Q!M28</f>
        <v>0</v>
      </c>
      <c r="N26" s="13">
        <f>Hist_Q!N28</f>
        <v>41</v>
      </c>
      <c r="O26" s="13">
        <f>Hist_Q!O28</f>
        <v>4</v>
      </c>
      <c r="P26" s="13">
        <f>Hist_Q!P28</f>
        <v>0</v>
      </c>
      <c r="Q26" s="13">
        <f>Hist_Q!Q28</f>
        <v>0</v>
      </c>
      <c r="R26" s="13">
        <f>Hist_Q!R28</f>
        <v>7</v>
      </c>
      <c r="S26" s="13">
        <f>Hist_Q!S28</f>
        <v>1</v>
      </c>
      <c r="T26" s="13">
        <f>Hist_Q!T28</f>
        <v>0</v>
      </c>
      <c r="U26" s="13">
        <f>Hist_Q!U28</f>
        <v>4</v>
      </c>
      <c r="V26" s="13">
        <f>Hist_Q!V28</f>
        <v>0</v>
      </c>
      <c r="W26" s="13">
        <f>Hist_Q!W28</f>
        <v>0</v>
      </c>
      <c r="X26" s="13">
        <f>Drivers!X36</f>
        <v>0</v>
      </c>
      <c r="Y26" s="13">
        <f>Drivers!Y36</f>
        <v>0</v>
      </c>
      <c r="Z26" s="13">
        <f>Drivers!Z36</f>
        <v>0</v>
      </c>
      <c r="AA26" s="13">
        <f>Drivers!AA36</f>
        <v>0</v>
      </c>
      <c r="AB26" s="13">
        <f>Drivers!AB36</f>
        <v>0</v>
      </c>
      <c r="AC26" s="13">
        <f>Drivers!AC36</f>
        <v>0</v>
      </c>
      <c r="AD26" s="13">
        <f>Drivers!AD36</f>
        <v>0</v>
      </c>
      <c r="AE26" s="13">
        <f>Drivers!AE36</f>
        <v>0</v>
      </c>
      <c r="AF26" s="13">
        <f>Drivers!AF36</f>
        <v>0</v>
      </c>
      <c r="AG26" s="13">
        <f>Drivers!AG36</f>
        <v>0</v>
      </c>
      <c r="AH26" s="13">
        <f>Drivers!AH36</f>
        <v>0</v>
      </c>
      <c r="AI26" s="13">
        <f>Drivers!AI36</f>
        <v>0</v>
      </c>
      <c r="AJ26" s="13">
        <f>Drivers!AJ36</f>
        <v>0</v>
      </c>
      <c r="AK26" s="13">
        <f>Drivers!AK36</f>
        <v>0</v>
      </c>
    </row>
    <row r="27" spans="1:37" x14ac:dyDescent="0.45">
      <c r="A27" s="12" t="s">
        <v>458</v>
      </c>
      <c r="B27" s="4" t="s">
        <v>459</v>
      </c>
      <c r="C27" s="12" t="s">
        <v>70</v>
      </c>
      <c r="E27" s="56">
        <f t="shared" ref="E27:AK27" si="7">E23+E24+E25+E26</f>
        <v>189</v>
      </c>
      <c r="F27" s="56">
        <f t="shared" si="7"/>
        <v>190</v>
      </c>
      <c r="G27" s="56">
        <f t="shared" si="7"/>
        <v>212</v>
      </c>
      <c r="H27" s="56">
        <f t="shared" si="7"/>
        <v>236</v>
      </c>
      <c r="I27" s="56">
        <f t="shared" si="7"/>
        <v>257</v>
      </c>
      <c r="J27" s="56">
        <f t="shared" si="7"/>
        <v>266</v>
      </c>
      <c r="K27" s="56">
        <f t="shared" si="7"/>
        <v>288</v>
      </c>
      <c r="L27" s="56">
        <f t="shared" si="7"/>
        <v>285</v>
      </c>
      <c r="M27" s="56">
        <f t="shared" si="7"/>
        <v>282</v>
      </c>
      <c r="N27" s="56">
        <f t="shared" si="7"/>
        <v>305</v>
      </c>
      <c r="O27" s="56">
        <f t="shared" si="7"/>
        <v>281</v>
      </c>
      <c r="P27" s="56">
        <f t="shared" si="7"/>
        <v>288</v>
      </c>
      <c r="Q27" s="56">
        <f t="shared" si="7"/>
        <v>301</v>
      </c>
      <c r="R27" s="56">
        <f t="shared" si="7"/>
        <v>303</v>
      </c>
      <c r="S27" s="56">
        <f t="shared" si="7"/>
        <v>312</v>
      </c>
      <c r="T27" s="56">
        <f t="shared" si="7"/>
        <v>348</v>
      </c>
      <c r="U27" s="56">
        <f t="shared" si="7"/>
        <v>338</v>
      </c>
      <c r="V27" s="56">
        <f t="shared" si="7"/>
        <v>337</v>
      </c>
      <c r="W27" s="56">
        <f t="shared" si="7"/>
        <v>364</v>
      </c>
      <c r="X27" s="56">
        <f t="shared" si="7"/>
        <v>397.73836405330877</v>
      </c>
      <c r="Y27" s="56">
        <f t="shared" si="7"/>
        <v>392.11970026072333</v>
      </c>
      <c r="Z27" s="56">
        <f t="shared" si="7"/>
        <v>402.80101571132974</v>
      </c>
      <c r="AA27" s="56">
        <f t="shared" si="7"/>
        <v>433.66482411377046</v>
      </c>
      <c r="AB27" s="56">
        <f t="shared" si="7"/>
        <v>460.31569429396131</v>
      </c>
      <c r="AC27" s="56">
        <f t="shared" si="7"/>
        <v>453.71138086171374</v>
      </c>
      <c r="AD27" s="56">
        <f t="shared" si="7"/>
        <v>461.32031136837645</v>
      </c>
      <c r="AE27" s="56">
        <f t="shared" si="7"/>
        <v>495.37994054818233</v>
      </c>
      <c r="AF27" s="56">
        <f t="shared" si="7"/>
        <v>524.38665597535601</v>
      </c>
      <c r="AG27" s="56">
        <f t="shared" si="7"/>
        <v>516.57656630940926</v>
      </c>
      <c r="AH27" s="56">
        <f t="shared" si="7"/>
        <v>521.49161797153977</v>
      </c>
      <c r="AI27" s="56">
        <f t="shared" si="7"/>
        <v>558.69020380196082</v>
      </c>
      <c r="AJ27" s="56">
        <f t="shared" si="7"/>
        <v>589.98658473588398</v>
      </c>
      <c r="AK27" s="56">
        <f t="shared" si="7"/>
        <v>580.9778275964635</v>
      </c>
    </row>
    <row r="28" spans="1:37" x14ac:dyDescent="0.45">
      <c r="A28" s="12" t="s">
        <v>460</v>
      </c>
      <c r="B28" s="3" t="s">
        <v>461</v>
      </c>
      <c r="C28" s="12" t="s">
        <v>73</v>
      </c>
      <c r="E28" s="15">
        <f>E27/Rev_Build!E58</f>
        <v>1.6875</v>
      </c>
      <c r="F28" s="15">
        <f>F27/Rev_Build!F58</f>
        <v>1.4728682170542635</v>
      </c>
      <c r="G28" s="15">
        <f>G27/Rev_Build!G58</f>
        <v>1.3006134969325154</v>
      </c>
      <c r="H28" s="15">
        <f>H27/Rev_Build!H58</f>
        <v>1.2102564102564102</v>
      </c>
      <c r="I28" s="15">
        <f>I27/Rev_Build!I58</f>
        <v>1.2849999999999999</v>
      </c>
      <c r="J28" s="15">
        <f>J27/Rev_Build!J58</f>
        <v>1.2036199095022624</v>
      </c>
      <c r="K28" s="15">
        <f>K27/Rev_Build!K58</f>
        <v>1.111969111969112</v>
      </c>
      <c r="L28" s="15">
        <f>L27/Rev_Build!L58</f>
        <v>1.0555555555555556</v>
      </c>
      <c r="M28" s="15">
        <f>M27/Rev_Build!M58</f>
        <v>1.0444444444444445</v>
      </c>
      <c r="N28" s="15">
        <f>N27/Rev_Build!N58</f>
        <v>1.0481099656357389</v>
      </c>
      <c r="O28" s="15">
        <f>O27/Rev_Build!O58</f>
        <v>0.85151515151515156</v>
      </c>
      <c r="P28" s="15">
        <f>P27/Rev_Build!P58</f>
        <v>0.78904109589041094</v>
      </c>
      <c r="Q28" s="15">
        <f>Q27/Rev_Build!Q58</f>
        <v>0.79629629629629628</v>
      </c>
      <c r="R28" s="15">
        <f>R27/Rev_Build!R58</f>
        <v>0.76903553299492389</v>
      </c>
      <c r="S28" s="15">
        <f>S27/Rev_Build!S58</f>
        <v>0.69798657718120805</v>
      </c>
      <c r="T28" s="15">
        <f>T27/Rev_Build!T58</f>
        <v>0.71020408163265303</v>
      </c>
      <c r="U28" s="15">
        <f>U27/Rev_Build!U58</f>
        <v>0.69404517453798764</v>
      </c>
      <c r="V28" s="15">
        <f>V27/Rev_Build!V58</f>
        <v>0.64807692307692311</v>
      </c>
      <c r="W28" s="15">
        <f>W27/Rev_Build!W58</f>
        <v>0.62222222222222223</v>
      </c>
      <c r="X28" s="15">
        <f>X27/Rev_Build!X58</f>
        <v>0.63559193906798628</v>
      </c>
      <c r="Y28" s="15">
        <f>Y27/Rev_Build!Y58</f>
        <v>0.63742164515234867</v>
      </c>
      <c r="Z28" s="15">
        <f>Z27/Rev_Build!Z58</f>
        <v>0.63205374260168834</v>
      </c>
      <c r="AA28" s="15">
        <f>AA27/Rev_Build!AA58</f>
        <v>0.60934364783818118</v>
      </c>
      <c r="AB28" s="15">
        <f>AB27/Rev_Build!AB58</f>
        <v>0.60703830704413442</v>
      </c>
      <c r="AC28" s="15">
        <f>AC27/Rev_Build!AC58</f>
        <v>0.61131412411943553</v>
      </c>
      <c r="AD28" s="15">
        <f>AD27/Rev_Build!AD58</f>
        <v>0.60564563810131422</v>
      </c>
      <c r="AE28" s="15">
        <f>AE27/Rev_Build!AE58</f>
        <v>0.58599912110230601</v>
      </c>
      <c r="AF28" s="15">
        <f>AF27/Rev_Build!AF58</f>
        <v>0.58576832398241552</v>
      </c>
      <c r="AG28" s="15">
        <f>AG27/Rev_Build!AG58</f>
        <v>0.59203757084960562</v>
      </c>
      <c r="AH28" s="15">
        <f>AH27/Rev_Build!AH58</f>
        <v>0.58779149096799788</v>
      </c>
      <c r="AI28" s="15">
        <f>AI27/Rev_Build!AI58</f>
        <v>0.57001033286506764</v>
      </c>
      <c r="AJ28" s="15">
        <f>AJ27/Rev_Build!AJ58</f>
        <v>0.57109406078629377</v>
      </c>
      <c r="AK28" s="15">
        <f>AK27/Rev_Build!AK58</f>
        <v>0.5788557809453988</v>
      </c>
    </row>
    <row r="29" spans="1:37" x14ac:dyDescent="0.45">
      <c r="A29" s="12" t="s">
        <v>462</v>
      </c>
      <c r="B29" s="4" t="s">
        <v>463</v>
      </c>
      <c r="C29" s="12" t="s">
        <v>70</v>
      </c>
      <c r="E29" s="56">
        <f t="shared" ref="E29:AK29" si="8">E20-E27</f>
        <v>-116</v>
      </c>
      <c r="F29" s="56">
        <f t="shared" si="8"/>
        <v>-101</v>
      </c>
      <c r="G29" s="56">
        <f t="shared" si="8"/>
        <v>-99</v>
      </c>
      <c r="H29" s="56">
        <f t="shared" si="8"/>
        <v>-85</v>
      </c>
      <c r="I29" s="56">
        <f t="shared" si="8"/>
        <v>-99</v>
      </c>
      <c r="J29" s="56">
        <f t="shared" si="8"/>
        <v>-92</v>
      </c>
      <c r="K29" s="56">
        <f t="shared" si="8"/>
        <v>-80</v>
      </c>
      <c r="L29" s="56">
        <f t="shared" si="8"/>
        <v>-59</v>
      </c>
      <c r="M29" s="56">
        <f t="shared" si="8"/>
        <v>-56</v>
      </c>
      <c r="N29" s="56">
        <f t="shared" si="8"/>
        <v>-56</v>
      </c>
      <c r="O29" s="56">
        <f t="shared" si="8"/>
        <v>5</v>
      </c>
      <c r="P29" s="56">
        <f t="shared" si="8"/>
        <v>34</v>
      </c>
      <c r="Q29" s="56">
        <f t="shared" si="8"/>
        <v>32</v>
      </c>
      <c r="R29" s="56">
        <f t="shared" si="8"/>
        <v>43</v>
      </c>
      <c r="S29" s="56">
        <f t="shared" si="8"/>
        <v>80</v>
      </c>
      <c r="T29" s="56">
        <f t="shared" si="8"/>
        <v>84</v>
      </c>
      <c r="U29" s="56">
        <f t="shared" si="8"/>
        <v>85</v>
      </c>
      <c r="V29" s="56">
        <f t="shared" si="8"/>
        <v>110</v>
      </c>
      <c r="W29" s="56">
        <f t="shared" si="8"/>
        <v>152</v>
      </c>
      <c r="X29" s="56">
        <f t="shared" si="8"/>
        <v>160.99910000919084</v>
      </c>
      <c r="Y29" s="56">
        <f t="shared" si="8"/>
        <v>152.86210593045291</v>
      </c>
      <c r="Z29" s="56">
        <f t="shared" si="8"/>
        <v>175.88817120701987</v>
      </c>
      <c r="AA29" s="56">
        <f t="shared" si="8"/>
        <v>200.2268881939217</v>
      </c>
      <c r="AB29" s="56">
        <f t="shared" si="8"/>
        <v>229.78191057283379</v>
      </c>
      <c r="AC29" s="56">
        <f t="shared" si="8"/>
        <v>217.07886628047362</v>
      </c>
      <c r="AD29" s="56">
        <f t="shared" si="8"/>
        <v>242.49973622811149</v>
      </c>
      <c r="AE29" s="56">
        <f t="shared" si="8"/>
        <v>273.13958766465424</v>
      </c>
      <c r="AF29" s="56">
        <f t="shared" si="8"/>
        <v>303.46504207320186</v>
      </c>
      <c r="AG29" s="56">
        <f t="shared" si="8"/>
        <v>285.44360976099495</v>
      </c>
      <c r="AH29" s="56">
        <f t="shared" si="8"/>
        <v>308.55349810240466</v>
      </c>
      <c r="AI29" s="56">
        <f t="shared" si="8"/>
        <v>345.57028065871907</v>
      </c>
      <c r="AJ29" s="56">
        <f t="shared" si="8"/>
        <v>376.57469774773813</v>
      </c>
      <c r="AK29" s="56">
        <f t="shared" si="8"/>
        <v>353.04810564790853</v>
      </c>
    </row>
    <row r="30" spans="1:37" x14ac:dyDescent="0.45">
      <c r="A30" s="12" t="s">
        <v>464</v>
      </c>
      <c r="B30" s="3" t="s">
        <v>465</v>
      </c>
      <c r="C30" s="12" t="s">
        <v>73</v>
      </c>
      <c r="E30" s="51">
        <f t="shared" ref="E30:AK30" si="9">E29/E13</f>
        <v>-0.2265625</v>
      </c>
      <c r="F30" s="51">
        <f t="shared" si="9"/>
        <v>-0.18878504672897195</v>
      </c>
      <c r="G30" s="51">
        <f t="shared" si="9"/>
        <v>-0.14666666666666667</v>
      </c>
      <c r="H30" s="51">
        <f t="shared" si="9"/>
        <v>-0.11303191489361702</v>
      </c>
      <c r="I30" s="51">
        <f t="shared" si="9"/>
        <v>-0.12890625</v>
      </c>
      <c r="J30" s="51">
        <f t="shared" si="9"/>
        <v>-0.11233211233211234</v>
      </c>
      <c r="K30" s="51">
        <f t="shared" si="9"/>
        <v>-8.1799591002044994E-2</v>
      </c>
      <c r="L30" s="51">
        <f t="shared" si="9"/>
        <v>-5.7170542635658912E-2</v>
      </c>
      <c r="M30" s="51">
        <f t="shared" si="9"/>
        <v>-5.4054054054054057E-2</v>
      </c>
      <c r="N30" s="51">
        <f t="shared" si="9"/>
        <v>-5.2093023255813956E-2</v>
      </c>
      <c r="O30" s="51">
        <f t="shared" si="9"/>
        <v>4.0257648953301124E-3</v>
      </c>
      <c r="P30" s="51">
        <f t="shared" si="9"/>
        <v>2.6053639846743294E-2</v>
      </c>
      <c r="Q30" s="51">
        <f t="shared" si="9"/>
        <v>2.391629297458894E-2</v>
      </c>
      <c r="R30" s="51">
        <f t="shared" si="9"/>
        <v>3.2161555721765149E-2</v>
      </c>
      <c r="S30" s="51">
        <f t="shared" si="9"/>
        <v>5.1612903225806452E-2</v>
      </c>
      <c r="T30" s="51">
        <f t="shared" si="9"/>
        <v>5.1439069197795471E-2</v>
      </c>
      <c r="U30" s="51">
        <f t="shared" si="9"/>
        <v>5.2051439069197798E-2</v>
      </c>
      <c r="V30" s="51">
        <f t="shared" si="9"/>
        <v>6.7484662576687116E-2</v>
      </c>
      <c r="W30" s="51">
        <f t="shared" si="9"/>
        <v>7.9664570230607967E-2</v>
      </c>
      <c r="X30" s="51">
        <f t="shared" si="9"/>
        <v>8.107045697004911E-2</v>
      </c>
      <c r="Y30" s="51">
        <f t="shared" si="9"/>
        <v>7.734114906600191E-2</v>
      </c>
      <c r="Z30" s="51">
        <f t="shared" si="9"/>
        <v>8.9981287345620886E-2</v>
      </c>
      <c r="AA30" s="51">
        <f t="shared" si="9"/>
        <v>8.7899262819002968E-2</v>
      </c>
      <c r="AB30" s="51">
        <f t="shared" si="9"/>
        <v>9.7490854997502638E-2</v>
      </c>
      <c r="AC30" s="51">
        <f t="shared" si="9"/>
        <v>9.3037698427689788E-2</v>
      </c>
      <c r="AD30" s="51">
        <f t="shared" si="9"/>
        <v>0.10542911187143732</v>
      </c>
      <c r="AE30" s="51">
        <f t="shared" si="9"/>
        <v>0.10257891894614378</v>
      </c>
      <c r="AF30" s="51">
        <f t="shared" si="9"/>
        <v>0.11070952823517571</v>
      </c>
      <c r="AG30" s="51">
        <f t="shared" si="9"/>
        <v>0.10571868849615421</v>
      </c>
      <c r="AH30" s="51">
        <f t="shared" si="9"/>
        <v>0.11644441892705082</v>
      </c>
      <c r="AI30" s="51">
        <f t="shared" si="9"/>
        <v>0.11322409077648439</v>
      </c>
      <c r="AJ30" s="51">
        <f t="shared" si="9"/>
        <v>0.12032330463664036</v>
      </c>
      <c r="AK30" s="51">
        <f t="shared" si="9"/>
        <v>0.11495804630483016</v>
      </c>
    </row>
    <row r="31" spans="1:37" x14ac:dyDescent="0.45">
      <c r="A31" s="12" t="s">
        <v>466</v>
      </c>
      <c r="B31" s="3" t="s">
        <v>467</v>
      </c>
      <c r="C31" s="12" t="s">
        <v>70</v>
      </c>
      <c r="E31" s="13">
        <f>Hist_Q!E31</f>
        <v>0</v>
      </c>
      <c r="F31" s="13">
        <f>Hist_Q!F31</f>
        <v>0</v>
      </c>
      <c r="G31" s="13">
        <f>Hist_Q!G31</f>
        <v>1</v>
      </c>
      <c r="H31" s="13">
        <f>Hist_Q!H31</f>
        <v>3</v>
      </c>
      <c r="I31" s="13">
        <f>Hist_Q!I31</f>
        <v>6</v>
      </c>
      <c r="J31" s="13">
        <f>Hist_Q!J31</f>
        <v>8</v>
      </c>
      <c r="K31" s="13">
        <f>Hist_Q!K31</f>
        <v>9</v>
      </c>
      <c r="L31" s="13">
        <f>Hist_Q!L31</f>
        <v>10</v>
      </c>
      <c r="M31" s="13">
        <f>Hist_Q!M31</f>
        <v>10</v>
      </c>
      <c r="N31" s="13">
        <f>Hist_Q!N31</f>
        <v>10</v>
      </c>
      <c r="O31" s="13">
        <f>Hist_Q!O31</f>
        <v>10</v>
      </c>
      <c r="P31" s="13">
        <f>Hist_Q!P31</f>
        <v>9</v>
      </c>
      <c r="Q31" s="13">
        <f>Hist_Q!Q31</f>
        <v>12</v>
      </c>
      <c r="R31" s="13">
        <f>Hist_Q!R31</f>
        <v>12</v>
      </c>
      <c r="S31" s="13">
        <f>Hist_Q!S31</f>
        <v>11</v>
      </c>
      <c r="T31" s="13">
        <f>Hist_Q!T31</f>
        <v>13</v>
      </c>
      <c r="U31" s="13">
        <f>Hist_Q!U31</f>
        <v>15</v>
      </c>
      <c r="V31" s="13">
        <f>Hist_Q!V31</f>
        <v>13</v>
      </c>
      <c r="W31" s="13">
        <f>Hist_Q!W31</f>
        <v>11</v>
      </c>
      <c r="X31" s="13">
        <f>(BS!W10+BS!W11)*Drivers!X38/QuartersPerYear</f>
        <v>10.706250000000001</v>
      </c>
      <c r="Y31" s="13">
        <f>(BS!X10+BS!X11)*Drivers!Y38/QuartersPerYear</f>
        <v>11.428497836936216</v>
      </c>
      <c r="Z31" s="13">
        <f>(BS!Y10+BS!Y11)*Drivers!Z38/QuartersPerYear</f>
        <v>11.372660281788905</v>
      </c>
      <c r="AA31" s="13">
        <f>(BS!Z10+BS!Z11)*Drivers!AA38/QuartersPerYear</f>
        <v>12.081234619024244</v>
      </c>
      <c r="AB31" s="13">
        <f>(BS!AA10+BS!AA11)*Drivers!AB38/QuartersPerYear</f>
        <v>13.030749717463657</v>
      </c>
      <c r="AC31" s="13">
        <f>(BS!AB10+BS!AB11)*Drivers!AC38/QuartersPerYear</f>
        <v>14.006524152244806</v>
      </c>
      <c r="AD31" s="13">
        <f>(BS!AC10+BS!AC11)*Drivers!AD38/QuartersPerYear</f>
        <v>14.183422730819588</v>
      </c>
      <c r="AE31" s="13">
        <f>(BS!AD10+BS!AD11)*Drivers!AE38/QuartersPerYear</f>
        <v>15.123736169291352</v>
      </c>
      <c r="AF31" s="13">
        <f>(BS!AE10+BS!AE11)*Drivers!AF38/QuartersPerYear</f>
        <v>16.526921599353074</v>
      </c>
      <c r="AG31" s="13">
        <f>(BS!AF10+BS!AF11)*Drivers!AG38/QuartersPerYear</f>
        <v>17.844059113661217</v>
      </c>
      <c r="AH31" s="13">
        <f>(BS!AG10+BS!AG11)*Drivers!AH38/QuartersPerYear</f>
        <v>18.99223583757912</v>
      </c>
      <c r="AI31" s="13">
        <f>(BS!AH10+BS!AH11)*Drivers!AI38/QuartersPerYear</f>
        <v>20.114593552316695</v>
      </c>
      <c r="AJ31" s="13">
        <f>(BS!AI10+BS!AI11)*Drivers!AJ38/QuartersPerYear</f>
        <v>21.986902597405713</v>
      </c>
      <c r="AK31" s="13">
        <f>(BS!AJ10+BS!AJ11)*Drivers!AK38/QuartersPerYear</f>
        <v>23.692670181842136</v>
      </c>
    </row>
    <row r="32" spans="1:37" x14ac:dyDescent="0.45">
      <c r="A32" s="12" t="s">
        <v>468</v>
      </c>
      <c r="B32" s="3" t="s">
        <v>469</v>
      </c>
      <c r="C32" s="12" t="s">
        <v>70</v>
      </c>
      <c r="E32" s="13">
        <f>Hist_Q!E37</f>
        <v>118</v>
      </c>
      <c r="F32" s="13">
        <f>Hist_Q!F37</f>
        <v>78</v>
      </c>
      <c r="G32" s="13">
        <f>Hist_Q!G37</f>
        <v>44</v>
      </c>
      <c r="H32" s="13">
        <f>Hist_Q!H37</f>
        <v>-20</v>
      </c>
      <c r="I32" s="13">
        <f>Hist_Q!I37</f>
        <v>-5</v>
      </c>
      <c r="J32" s="13">
        <f>Hist_Q!J37</f>
        <v>3</v>
      </c>
      <c r="K32" s="13">
        <f>Hist_Q!K37</f>
        <v>-26</v>
      </c>
      <c r="L32" s="13">
        <f>Hist_Q!L37</f>
        <v>18</v>
      </c>
      <c r="M32" s="13">
        <f>Hist_Q!M37</f>
        <v>11</v>
      </c>
      <c r="N32" s="13">
        <f>Hist_Q!N37</f>
        <v>-36</v>
      </c>
      <c r="O32" s="13">
        <f>Hist_Q!O37</f>
        <v>-1</v>
      </c>
      <c r="P32" s="13">
        <f>Hist_Q!P37</f>
        <v>14</v>
      </c>
      <c r="Q32" s="13">
        <f>Hist_Q!Q37</f>
        <v>-12</v>
      </c>
      <c r="R32" s="13">
        <f>Hist_Q!R37</f>
        <v>3</v>
      </c>
      <c r="S32" s="13">
        <f>Hist_Q!S37</f>
        <v>-8</v>
      </c>
      <c r="T32" s="13">
        <f>Hist_Q!T37</f>
        <v>7</v>
      </c>
      <c r="U32" s="13">
        <f>Hist_Q!U37</f>
        <v>1</v>
      </c>
      <c r="V32" s="13">
        <f>Hist_Q!V37</f>
        <v>8</v>
      </c>
      <c r="W32" s="13">
        <f>Hist_Q!W37</f>
        <v>-1</v>
      </c>
      <c r="X32" s="13">
        <f>Drivers!X37</f>
        <v>0</v>
      </c>
      <c r="Y32" s="13">
        <f>Drivers!Y37</f>
        <v>0</v>
      </c>
      <c r="Z32" s="13">
        <f>Drivers!Z37</f>
        <v>0</v>
      </c>
      <c r="AA32" s="13">
        <f>Drivers!AA37</f>
        <v>0</v>
      </c>
      <c r="AB32" s="13">
        <f>Drivers!AB37</f>
        <v>0</v>
      </c>
      <c r="AC32" s="13">
        <f>Drivers!AC37</f>
        <v>0</v>
      </c>
      <c r="AD32" s="13">
        <f>Drivers!AD37</f>
        <v>0</v>
      </c>
      <c r="AE32" s="13">
        <f>Drivers!AE37</f>
        <v>0</v>
      </c>
      <c r="AF32" s="13">
        <f>Drivers!AF37</f>
        <v>0</v>
      </c>
      <c r="AG32" s="13">
        <f>Drivers!AG37</f>
        <v>0</v>
      </c>
      <c r="AH32" s="13">
        <f>Drivers!AH37</f>
        <v>0</v>
      </c>
      <c r="AI32" s="13">
        <f>Drivers!AI37</f>
        <v>0</v>
      </c>
      <c r="AJ32" s="13">
        <f>Drivers!AJ37</f>
        <v>0</v>
      </c>
      <c r="AK32" s="13">
        <f>Drivers!AK37</f>
        <v>0</v>
      </c>
    </row>
    <row r="33" spans="1:37" x14ac:dyDescent="0.45">
      <c r="A33" s="12" t="s">
        <v>470</v>
      </c>
      <c r="B33" s="4" t="s">
        <v>471</v>
      </c>
      <c r="C33" s="12" t="s">
        <v>70</v>
      </c>
      <c r="E33" s="56">
        <f t="shared" ref="E33:AK33" si="10">E29+E31+E32</f>
        <v>2</v>
      </c>
      <c r="F33" s="56">
        <f t="shared" si="10"/>
        <v>-23</v>
      </c>
      <c r="G33" s="56">
        <f t="shared" si="10"/>
        <v>-54</v>
      </c>
      <c r="H33" s="56">
        <f t="shared" si="10"/>
        <v>-102</v>
      </c>
      <c r="I33" s="56">
        <f t="shared" si="10"/>
        <v>-98</v>
      </c>
      <c r="J33" s="56">
        <f t="shared" si="10"/>
        <v>-81</v>
      </c>
      <c r="K33" s="56">
        <f t="shared" si="10"/>
        <v>-97</v>
      </c>
      <c r="L33" s="56">
        <f t="shared" si="10"/>
        <v>-31</v>
      </c>
      <c r="M33" s="56">
        <f t="shared" si="10"/>
        <v>-35</v>
      </c>
      <c r="N33" s="56">
        <f t="shared" si="10"/>
        <v>-82</v>
      </c>
      <c r="O33" s="56">
        <f t="shared" si="10"/>
        <v>14</v>
      </c>
      <c r="P33" s="56">
        <f t="shared" si="10"/>
        <v>57</v>
      </c>
      <c r="Q33" s="56">
        <f t="shared" si="10"/>
        <v>32</v>
      </c>
      <c r="R33" s="56">
        <f t="shared" si="10"/>
        <v>58</v>
      </c>
      <c r="S33" s="56">
        <f t="shared" si="10"/>
        <v>83</v>
      </c>
      <c r="T33" s="56">
        <f t="shared" si="10"/>
        <v>104</v>
      </c>
      <c r="U33" s="56">
        <f t="shared" si="10"/>
        <v>101</v>
      </c>
      <c r="V33" s="56">
        <f t="shared" si="10"/>
        <v>131</v>
      </c>
      <c r="W33" s="56">
        <f t="shared" si="10"/>
        <v>162</v>
      </c>
      <c r="X33" s="56">
        <f t="shared" si="10"/>
        <v>171.70535000919085</v>
      </c>
      <c r="Y33" s="56">
        <f t="shared" si="10"/>
        <v>164.29060376738914</v>
      </c>
      <c r="Z33" s="56">
        <f t="shared" si="10"/>
        <v>187.26083148880878</v>
      </c>
      <c r="AA33" s="56">
        <f t="shared" si="10"/>
        <v>212.30812281294595</v>
      </c>
      <c r="AB33" s="56">
        <f t="shared" si="10"/>
        <v>242.81266029029746</v>
      </c>
      <c r="AC33" s="56">
        <f t="shared" si="10"/>
        <v>231.08539043271841</v>
      </c>
      <c r="AD33" s="56">
        <f t="shared" si="10"/>
        <v>256.68315895893107</v>
      </c>
      <c r="AE33" s="56">
        <f t="shared" si="10"/>
        <v>288.26332383394561</v>
      </c>
      <c r="AF33" s="56">
        <f t="shared" si="10"/>
        <v>319.9919636725549</v>
      </c>
      <c r="AG33" s="56">
        <f t="shared" si="10"/>
        <v>303.28766887465616</v>
      </c>
      <c r="AH33" s="56">
        <f t="shared" si="10"/>
        <v>327.54573393998379</v>
      </c>
      <c r="AI33" s="56">
        <f t="shared" si="10"/>
        <v>365.68487421103578</v>
      </c>
      <c r="AJ33" s="56">
        <f t="shared" si="10"/>
        <v>398.56160034514386</v>
      </c>
      <c r="AK33" s="56">
        <f t="shared" si="10"/>
        <v>376.74077582975065</v>
      </c>
    </row>
    <row r="34" spans="1:37" x14ac:dyDescent="0.45">
      <c r="A34" s="12" t="s">
        <v>472</v>
      </c>
      <c r="B34" s="3" t="s">
        <v>473</v>
      </c>
      <c r="C34" s="12" t="s">
        <v>70</v>
      </c>
      <c r="E34" s="13">
        <f>Hist_Q!E33</f>
        <v>1</v>
      </c>
      <c r="F34" s="13">
        <f>Hist_Q!F33</f>
        <v>0</v>
      </c>
      <c r="G34" s="13">
        <f>Hist_Q!G33</f>
        <v>0</v>
      </c>
      <c r="H34" s="13">
        <f>Hist_Q!H33</f>
        <v>-4</v>
      </c>
      <c r="I34" s="13">
        <f>Hist_Q!I33</f>
        <v>2</v>
      </c>
      <c r="J34" s="13">
        <f>Hist_Q!J33</f>
        <v>0</v>
      </c>
      <c r="K34" s="13">
        <f>Hist_Q!K33</f>
        <v>1</v>
      </c>
      <c r="L34" s="13">
        <f>Hist_Q!L33</f>
        <v>0</v>
      </c>
      <c r="M34" s="13">
        <f>Hist_Q!M33</f>
        <v>1</v>
      </c>
      <c r="N34" s="13">
        <f>Hist_Q!N33</f>
        <v>1</v>
      </c>
      <c r="O34" s="13">
        <f>Hist_Q!O33</f>
        <v>0</v>
      </c>
      <c r="P34" s="13">
        <f>Hist_Q!P33</f>
        <v>1</v>
      </c>
      <c r="Q34" s="13">
        <f>Hist_Q!Q33</f>
        <v>0</v>
      </c>
      <c r="R34" s="13">
        <f>Hist_Q!R33</f>
        <v>2</v>
      </c>
      <c r="S34" s="13">
        <f>Hist_Q!S33</f>
        <v>3</v>
      </c>
      <c r="T34" s="13">
        <f>Hist_Q!T33</f>
        <v>-1</v>
      </c>
      <c r="U34" s="13">
        <f>Hist_Q!U33</f>
        <v>0</v>
      </c>
      <c r="V34" s="13">
        <f>Hist_Q!V33</f>
        <v>5</v>
      </c>
      <c r="W34" s="13">
        <f>Hist_Q!W33</f>
        <v>8</v>
      </c>
      <c r="X34" s="13">
        <f>X33*Drivers!X39</f>
        <v>8.5852675004595422</v>
      </c>
      <c r="Y34" s="13">
        <f>Y33*Drivers!Y39</f>
        <v>8.2145301883694568</v>
      </c>
      <c r="Z34" s="13">
        <f>Z33*Drivers!Z39</f>
        <v>11.235649889328526</v>
      </c>
      <c r="AA34" s="13">
        <f>AA33*Drivers!AA39</f>
        <v>12.738487368776756</v>
      </c>
      <c r="AB34" s="13">
        <f>AB33*Drivers!AB39</f>
        <v>14.568759617417847</v>
      </c>
      <c r="AC34" s="13">
        <f>AC33*Drivers!AC39</f>
        <v>13.865123425963104</v>
      </c>
      <c r="AD34" s="13">
        <f>AD33*Drivers!AD39</f>
        <v>20.534652716714486</v>
      </c>
      <c r="AE34" s="13">
        <f>AE33*Drivers!AE39</f>
        <v>23.061065906715648</v>
      </c>
      <c r="AF34" s="13">
        <f>AF33*Drivers!AF39</f>
        <v>25.599357093804393</v>
      </c>
      <c r="AG34" s="13">
        <f>AG33*Drivers!AG39</f>
        <v>24.263013509972495</v>
      </c>
      <c r="AH34" s="13">
        <f>AH33*Drivers!AH39</f>
        <v>32.754573393998378</v>
      </c>
      <c r="AI34" s="13">
        <f>AI33*Drivers!AI39</f>
        <v>36.568487421103576</v>
      </c>
      <c r="AJ34" s="13">
        <f>AJ33*Drivers!AJ39</f>
        <v>39.856160034514389</v>
      </c>
      <c r="AK34" s="13">
        <f>AK33*Drivers!AK39</f>
        <v>37.674077582975066</v>
      </c>
    </row>
    <row r="35" spans="1:37" x14ac:dyDescent="0.45">
      <c r="A35" s="12" t="s">
        <v>474</v>
      </c>
      <c r="B35" s="4" t="s">
        <v>475</v>
      </c>
      <c r="C35" s="12" t="s">
        <v>70</v>
      </c>
      <c r="E35" s="56">
        <f t="shared" ref="E35:AK35" si="11">E33-E34</f>
        <v>1</v>
      </c>
      <c r="F35" s="56">
        <f t="shared" si="11"/>
        <v>-23</v>
      </c>
      <c r="G35" s="56">
        <f t="shared" si="11"/>
        <v>-54</v>
      </c>
      <c r="H35" s="56">
        <f t="shared" si="11"/>
        <v>-98</v>
      </c>
      <c r="I35" s="56">
        <f t="shared" si="11"/>
        <v>-100</v>
      </c>
      <c r="J35" s="56">
        <f t="shared" si="11"/>
        <v>-81</v>
      </c>
      <c r="K35" s="56">
        <f t="shared" si="11"/>
        <v>-98</v>
      </c>
      <c r="L35" s="56">
        <f t="shared" si="11"/>
        <v>-31</v>
      </c>
      <c r="M35" s="56">
        <f t="shared" si="11"/>
        <v>-36</v>
      </c>
      <c r="N35" s="56">
        <f t="shared" si="11"/>
        <v>-83</v>
      </c>
      <c r="O35" s="56">
        <f t="shared" si="11"/>
        <v>14</v>
      </c>
      <c r="P35" s="56">
        <f t="shared" si="11"/>
        <v>56</v>
      </c>
      <c r="Q35" s="56">
        <f t="shared" si="11"/>
        <v>32</v>
      </c>
      <c r="R35" s="56">
        <f t="shared" si="11"/>
        <v>56</v>
      </c>
      <c r="S35" s="56">
        <f t="shared" si="11"/>
        <v>80</v>
      </c>
      <c r="T35" s="56">
        <f t="shared" si="11"/>
        <v>105</v>
      </c>
      <c r="U35" s="56">
        <f t="shared" si="11"/>
        <v>101</v>
      </c>
      <c r="V35" s="56">
        <f t="shared" si="11"/>
        <v>126</v>
      </c>
      <c r="W35" s="56">
        <f t="shared" si="11"/>
        <v>154</v>
      </c>
      <c r="X35" s="56">
        <f t="shared" si="11"/>
        <v>163.12008250873131</v>
      </c>
      <c r="Y35" s="56">
        <f t="shared" si="11"/>
        <v>156.07607357901969</v>
      </c>
      <c r="Z35" s="56">
        <f t="shared" si="11"/>
        <v>176.02518159948025</v>
      </c>
      <c r="AA35" s="56">
        <f t="shared" si="11"/>
        <v>199.56963544416919</v>
      </c>
      <c r="AB35" s="56">
        <f t="shared" si="11"/>
        <v>228.24390067287962</v>
      </c>
      <c r="AC35" s="56">
        <f t="shared" si="11"/>
        <v>217.22026700675531</v>
      </c>
      <c r="AD35" s="56">
        <f t="shared" si="11"/>
        <v>236.1485062422166</v>
      </c>
      <c r="AE35" s="56">
        <f t="shared" si="11"/>
        <v>265.20225792722994</v>
      </c>
      <c r="AF35" s="56">
        <f t="shared" si="11"/>
        <v>294.39260657875053</v>
      </c>
      <c r="AG35" s="56">
        <f t="shared" si="11"/>
        <v>279.02465536468367</v>
      </c>
      <c r="AH35" s="56">
        <f t="shared" si="11"/>
        <v>294.79116054598541</v>
      </c>
      <c r="AI35" s="56">
        <f t="shared" si="11"/>
        <v>329.11638678993222</v>
      </c>
      <c r="AJ35" s="56">
        <f t="shared" si="11"/>
        <v>358.70544031062946</v>
      </c>
      <c r="AK35" s="56">
        <f t="shared" si="11"/>
        <v>339.06669824677556</v>
      </c>
    </row>
    <row r="36" spans="1:37" x14ac:dyDescent="0.45">
      <c r="A36" s="12" t="s">
        <v>476</v>
      </c>
      <c r="B36" s="3" t="s">
        <v>477</v>
      </c>
      <c r="C36" s="12" t="s">
        <v>73</v>
      </c>
      <c r="E36" s="51">
        <f t="shared" ref="E36:AK36" si="12">E35/E13</f>
        <v>1.953125E-3</v>
      </c>
      <c r="F36" s="51">
        <f t="shared" si="12"/>
        <v>-4.2990654205607479E-2</v>
      </c>
      <c r="G36" s="51">
        <f t="shared" si="12"/>
        <v>-0.08</v>
      </c>
      <c r="H36" s="51">
        <f t="shared" si="12"/>
        <v>-0.13031914893617022</v>
      </c>
      <c r="I36" s="51">
        <f t="shared" si="12"/>
        <v>-0.13020833333333334</v>
      </c>
      <c r="J36" s="51">
        <f t="shared" si="12"/>
        <v>-9.8901098901098897E-2</v>
      </c>
      <c r="K36" s="51">
        <f t="shared" si="12"/>
        <v>-0.10020449897750511</v>
      </c>
      <c r="L36" s="51">
        <f t="shared" si="12"/>
        <v>-3.0038759689922482E-2</v>
      </c>
      <c r="M36" s="51">
        <f t="shared" si="12"/>
        <v>-3.4749034749034749E-2</v>
      </c>
      <c r="N36" s="51">
        <f t="shared" si="12"/>
        <v>-7.7209302325581389E-2</v>
      </c>
      <c r="O36" s="51">
        <f t="shared" si="12"/>
        <v>1.1272141706924315E-2</v>
      </c>
      <c r="P36" s="51">
        <f t="shared" si="12"/>
        <v>4.2911877394636012E-2</v>
      </c>
      <c r="Q36" s="51">
        <f t="shared" si="12"/>
        <v>2.391629297458894E-2</v>
      </c>
      <c r="R36" s="51">
        <f t="shared" si="12"/>
        <v>4.1884816753926704E-2</v>
      </c>
      <c r="S36" s="51">
        <f t="shared" si="12"/>
        <v>5.1612903225806452E-2</v>
      </c>
      <c r="T36" s="51">
        <f t="shared" si="12"/>
        <v>6.4298836497244341E-2</v>
      </c>
      <c r="U36" s="51">
        <f t="shared" si="12"/>
        <v>6.1849357011635027E-2</v>
      </c>
      <c r="V36" s="51">
        <f t="shared" si="12"/>
        <v>7.7300613496932513E-2</v>
      </c>
      <c r="W36" s="51">
        <f t="shared" si="12"/>
        <v>8.0712788259958076E-2</v>
      </c>
      <c r="X36" s="51">
        <f t="shared" si="12"/>
        <v>8.2138469278524168E-2</v>
      </c>
      <c r="Y36" s="51">
        <f t="shared" si="12"/>
        <v>7.8967267910093994E-2</v>
      </c>
      <c r="Z36" s="51">
        <f t="shared" si="12"/>
        <v>9.0051379446804899E-2</v>
      </c>
      <c r="AA36" s="51">
        <f t="shared" si="12"/>
        <v>8.7610729981529842E-2</v>
      </c>
      <c r="AB36" s="51">
        <f t="shared" si="12"/>
        <v>9.6838314944339365E-2</v>
      </c>
      <c r="AC36" s="51">
        <f t="shared" si="12"/>
        <v>9.3098301278417103E-2</v>
      </c>
      <c r="AD36" s="51">
        <f t="shared" si="12"/>
        <v>0.1026678530465029</v>
      </c>
      <c r="AE36" s="51">
        <f t="shared" si="12"/>
        <v>9.9598015625810374E-2</v>
      </c>
      <c r="AF36" s="51">
        <f t="shared" si="12"/>
        <v>0.10739973990940049</v>
      </c>
      <c r="AG36" s="51">
        <f t="shared" si="12"/>
        <v>0.10334132422142808</v>
      </c>
      <c r="AH36" s="51">
        <f t="shared" si="12"/>
        <v>0.1112506764814432</v>
      </c>
      <c r="AI36" s="51">
        <f t="shared" si="12"/>
        <v>0.10783306823405107</v>
      </c>
      <c r="AJ36" s="51">
        <f t="shared" si="12"/>
        <v>0.11461371204028357</v>
      </c>
      <c r="AK36" s="51">
        <f t="shared" si="12"/>
        <v>0.11040547895292073</v>
      </c>
    </row>
    <row r="37" spans="1:37" x14ac:dyDescent="0.45">
      <c r="A37" s="21"/>
      <c r="B37" s="22" t="s">
        <v>478</v>
      </c>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row>
    <row r="38" spans="1:37" x14ac:dyDescent="0.45">
      <c r="A38" s="12" t="s">
        <v>479</v>
      </c>
      <c r="B38" s="57" t="s">
        <v>480</v>
      </c>
      <c r="C38" s="12" t="s">
        <v>70</v>
      </c>
      <c r="E38" s="13">
        <f>Hist_Q!E81</f>
        <v>48</v>
      </c>
      <c r="F38" s="13">
        <f>Hist_Q!F81</f>
        <v>57</v>
      </c>
      <c r="G38" s="13">
        <f>Hist_Q!G81</f>
        <v>63</v>
      </c>
      <c r="H38" s="13">
        <f>Hist_Q!H81</f>
        <v>71</v>
      </c>
      <c r="I38" s="13">
        <f>Hist_Q!I81</f>
        <v>73</v>
      </c>
      <c r="J38" s="13">
        <f>Hist_Q!J81</f>
        <v>83</v>
      </c>
      <c r="K38" s="13">
        <f>Hist_Q!K81</f>
        <v>84</v>
      </c>
      <c r="L38" s="13">
        <f>Hist_Q!L81</f>
        <v>83</v>
      </c>
      <c r="M38" s="13">
        <f>Hist_Q!M81</f>
        <v>86</v>
      </c>
      <c r="N38" s="13">
        <f>Hist_Q!N81</f>
        <v>93</v>
      </c>
      <c r="O38" s="13">
        <f>Hist_Q!O81</f>
        <v>97</v>
      </c>
      <c r="P38" s="13">
        <f>Hist_Q!P81</f>
        <v>105</v>
      </c>
      <c r="Q38" s="13">
        <f>Hist_Q!Q81</f>
        <v>114</v>
      </c>
      <c r="R38" s="13">
        <f>Hist_Q!R81</f>
        <v>117</v>
      </c>
      <c r="S38" s="13">
        <f>Hist_Q!S81</f>
        <v>124</v>
      </c>
      <c r="T38" s="13">
        <f>Hist_Q!T81</f>
        <v>128</v>
      </c>
      <c r="U38" s="13">
        <f>Hist_Q!U81</f>
        <v>139</v>
      </c>
      <c r="V38" s="13">
        <f>Hist_Q!V81</f>
        <v>141</v>
      </c>
      <c r="W38" s="13">
        <f>Hist_Q!W81</f>
        <v>152</v>
      </c>
      <c r="X38" s="50">
        <f t="shared" ref="X38:AK38" si="13">X39+X40</f>
        <v>155.97573529411767</v>
      </c>
      <c r="Y38" s="50">
        <f t="shared" si="13"/>
        <v>160.14926470588233</v>
      </c>
      <c r="Z38" s="50">
        <f t="shared" si="13"/>
        <v>177.40441176470588</v>
      </c>
      <c r="AA38" s="50">
        <f t="shared" si="13"/>
        <v>181.81441176470588</v>
      </c>
      <c r="AB38" s="50">
        <f t="shared" si="13"/>
        <v>186.5394117647059</v>
      </c>
      <c r="AC38" s="50">
        <f t="shared" si="13"/>
        <v>191.05441176470589</v>
      </c>
      <c r="AD38" s="50">
        <f t="shared" si="13"/>
        <v>207.48676470588236</v>
      </c>
      <c r="AE38" s="50">
        <f t="shared" si="13"/>
        <v>212.10676470588237</v>
      </c>
      <c r="AF38" s="50">
        <f t="shared" si="13"/>
        <v>217.05676470588239</v>
      </c>
      <c r="AG38" s="50">
        <f t="shared" si="13"/>
        <v>221.78676470588235</v>
      </c>
      <c r="AH38" s="50">
        <f t="shared" si="13"/>
        <v>239.26911764705881</v>
      </c>
      <c r="AI38" s="50">
        <f t="shared" si="13"/>
        <v>244.09911764705879</v>
      </c>
      <c r="AJ38" s="50">
        <f t="shared" si="13"/>
        <v>249.2741176470588</v>
      </c>
      <c r="AK38" s="50">
        <f t="shared" si="13"/>
        <v>254.21911764705879</v>
      </c>
    </row>
    <row r="39" spans="1:37" x14ac:dyDescent="0.45">
      <c r="A39" s="12" t="s">
        <v>481</v>
      </c>
      <c r="B39" s="58" t="s">
        <v>482</v>
      </c>
      <c r="C39" s="12" t="s">
        <v>70</v>
      </c>
      <c r="F39" s="13">
        <f>INDEX(Drv_svc,1,1)*Rev_Build!F12/QuartersPerYear/Thousand</f>
        <v>29.75</v>
      </c>
      <c r="G39" s="13">
        <f>INDEX(Drv_svc,1,1)*Rev_Build!G12/QuartersPerYear/Thousand</f>
        <v>32.5</v>
      </c>
      <c r="H39" s="13">
        <f>INDEX(Drv_svc,1,1)*Rev_Build!H12/QuartersPerYear/Thousand</f>
        <v>35.5</v>
      </c>
      <c r="I39" s="13">
        <f>INDEX(Drv_svc,1,1)*Rev_Build!I12/QuartersPerYear/Thousand</f>
        <v>38.25</v>
      </c>
      <c r="J39" s="13">
        <f>INDEX(Drv_svc,1,1)*Rev_Build!J12/QuartersPerYear/Thousand</f>
        <v>41</v>
      </c>
      <c r="K39" s="13">
        <f>INDEX(Drv_svc,1,1)*Rev_Build!K12/QuartersPerYear/Thousand</f>
        <v>44.5</v>
      </c>
      <c r="L39" s="13">
        <f>INDEX(Drv_svc,1,1)*Rev_Build!L12/QuartersPerYear/Thousand</f>
        <v>48</v>
      </c>
      <c r="M39" s="13">
        <f>INDEX(Drv_svc,1,1)*Rev_Build!M12/QuartersPerYear/Thousand</f>
        <v>51.25</v>
      </c>
      <c r="N39" s="13">
        <f>INDEX(Drv_svc,1,1)*Rev_Build!N12/QuartersPerYear/Thousand</f>
        <v>54.5</v>
      </c>
      <c r="O39" s="13">
        <f>INDEX(Drv_svc,1,1)*Rev_Build!O12/QuartersPerYear/Thousand</f>
        <v>58</v>
      </c>
      <c r="P39" s="13">
        <f>INDEX(Drv_svc,1,1)*Rev_Build!P12/QuartersPerYear/Thousand</f>
        <v>61.75</v>
      </c>
      <c r="Q39" s="13">
        <f>INDEX(Drv_svc,1,1)*Rev_Build!Q12/QuartersPerYear/Thousand</f>
        <v>65.25</v>
      </c>
      <c r="R39" s="13">
        <f>INDEX(Drv_svc,1,1)*Rev_Build!R12/QuartersPerYear/Thousand</f>
        <v>68.5</v>
      </c>
      <c r="S39" s="13">
        <f>INDEX(Drv_svc,1,1)*Rev_Build!S12/QuartersPerYear/Thousand</f>
        <v>72</v>
      </c>
      <c r="T39" s="13">
        <f>INDEX(Drv_svc,1,1)*Rev_Build!T12/QuartersPerYear/Thousand</f>
        <v>76</v>
      </c>
      <c r="U39" s="13">
        <f>INDEX(Drv_svc,1,1)*Rev_Build!U12/QuartersPerYear/Thousand</f>
        <v>80</v>
      </c>
      <c r="V39" s="13">
        <f>INDEX(Drv_svc,1,1)*Rev_Build!V12/QuartersPerYear/Thousand</f>
        <v>83.75</v>
      </c>
      <c r="W39" s="13">
        <f>INDEX(Drv_svc,1,1)*Rev_Build!W12/QuartersPerYear/Thousand</f>
        <v>87.75</v>
      </c>
      <c r="X39" s="13">
        <f>Drivers!X28*Rev_Build!X12/QuartersPerYear/Thousand</f>
        <v>92.038235294117655</v>
      </c>
      <c r="Y39" s="13">
        <f>Drivers!Y28*Rev_Build!Y12/QuartersPerYear/Thousand</f>
        <v>96.211764705882345</v>
      </c>
      <c r="Z39" s="13">
        <f>Drivers!Z28*Rev_Build!Z12/QuartersPerYear/Thousand</f>
        <v>105.15441176470588</v>
      </c>
      <c r="AA39" s="13">
        <f>Drivers!AA28*Rev_Build!AA12/QuartersPerYear/Thousand</f>
        <v>109.56441176470589</v>
      </c>
      <c r="AB39" s="13">
        <f>Drivers!AB28*Rev_Build!AB12/QuartersPerYear/Thousand</f>
        <v>114.28941176470589</v>
      </c>
      <c r="AC39" s="13">
        <f>Drivers!AC28*Rev_Build!AC12/QuartersPerYear/Thousand</f>
        <v>118.80441176470589</v>
      </c>
      <c r="AD39" s="13">
        <f>Drivers!AD28*Rev_Build!AD12/QuartersPerYear/Thousand</f>
        <v>128.86176470588236</v>
      </c>
      <c r="AE39" s="13">
        <f>Drivers!AE28*Rev_Build!AE12/QuartersPerYear/Thousand</f>
        <v>133.48176470588237</v>
      </c>
      <c r="AF39" s="13">
        <f>Drivers!AF28*Rev_Build!AF12/QuartersPerYear/Thousand</f>
        <v>138.43176470588239</v>
      </c>
      <c r="AG39" s="13">
        <f>Drivers!AG28*Rev_Build!AG12/QuartersPerYear/Thousand</f>
        <v>143.16176470588235</v>
      </c>
      <c r="AH39" s="13">
        <f>Drivers!AH28*Rev_Build!AH12/QuartersPerYear/Thousand</f>
        <v>154.26911764705881</v>
      </c>
      <c r="AI39" s="13">
        <f>Drivers!AI28*Rev_Build!AI12/QuartersPerYear/Thousand</f>
        <v>159.09911764705879</v>
      </c>
      <c r="AJ39" s="13">
        <f>Drivers!AJ28*Rev_Build!AJ12/QuartersPerYear/Thousand</f>
        <v>164.2741176470588</v>
      </c>
      <c r="AK39" s="13">
        <f>Drivers!AK28*Rev_Build!AK12/QuartersPerYear/Thousand</f>
        <v>169.21911764705879</v>
      </c>
    </row>
    <row r="40" spans="1:37" x14ac:dyDescent="0.45">
      <c r="A40" s="12" t="s">
        <v>483</v>
      </c>
      <c r="B40" s="58" t="s">
        <v>484</v>
      </c>
      <c r="C40" s="12" t="s">
        <v>70</v>
      </c>
      <c r="F40" s="50">
        <f t="shared" ref="F40:W40" si="14">F38-F39</f>
        <v>27.25</v>
      </c>
      <c r="G40" s="50">
        <f t="shared" si="14"/>
        <v>30.5</v>
      </c>
      <c r="H40" s="50">
        <f t="shared" si="14"/>
        <v>35.5</v>
      </c>
      <c r="I40" s="50">
        <f t="shared" si="14"/>
        <v>34.75</v>
      </c>
      <c r="J40" s="50">
        <f t="shared" si="14"/>
        <v>42</v>
      </c>
      <c r="K40" s="50">
        <f t="shared" si="14"/>
        <v>39.5</v>
      </c>
      <c r="L40" s="50">
        <f t="shared" si="14"/>
        <v>35</v>
      </c>
      <c r="M40" s="50">
        <f t="shared" si="14"/>
        <v>34.75</v>
      </c>
      <c r="N40" s="50">
        <f t="shared" si="14"/>
        <v>38.5</v>
      </c>
      <c r="O40" s="50">
        <f t="shared" si="14"/>
        <v>39</v>
      </c>
      <c r="P40" s="50">
        <f t="shared" si="14"/>
        <v>43.25</v>
      </c>
      <c r="Q40" s="50">
        <f t="shared" si="14"/>
        <v>48.75</v>
      </c>
      <c r="R40" s="50">
        <f t="shared" si="14"/>
        <v>48.5</v>
      </c>
      <c r="S40" s="50">
        <f t="shared" si="14"/>
        <v>52</v>
      </c>
      <c r="T40" s="50">
        <f t="shared" si="14"/>
        <v>52</v>
      </c>
      <c r="U40" s="50">
        <f t="shared" si="14"/>
        <v>59</v>
      </c>
      <c r="V40" s="50">
        <f t="shared" si="14"/>
        <v>57.25</v>
      </c>
      <c r="W40" s="50">
        <f t="shared" si="14"/>
        <v>64.25</v>
      </c>
      <c r="X40" s="13">
        <f>Drivers!X18*Drivers!X25/Thousand</f>
        <v>63.9375</v>
      </c>
      <c r="Y40" s="13">
        <f>Drivers!Y18*Drivers!Y25/Thousand</f>
        <v>63.9375</v>
      </c>
      <c r="Z40" s="13">
        <f>Drivers!Z18*Drivers!Z25/Thousand</f>
        <v>72.25</v>
      </c>
      <c r="AA40" s="13">
        <f>Drivers!AA18*Drivers!AA25/Thousand</f>
        <v>72.25</v>
      </c>
      <c r="AB40" s="13">
        <f>Drivers!AB18*Drivers!AB25/Thousand</f>
        <v>72.25</v>
      </c>
      <c r="AC40" s="13">
        <f>Drivers!AC18*Drivers!AC25/Thousand</f>
        <v>72.25</v>
      </c>
      <c r="AD40" s="13">
        <f>Drivers!AD18*Drivers!AD25/Thousand</f>
        <v>78.625</v>
      </c>
      <c r="AE40" s="13">
        <f>Drivers!AE18*Drivers!AE25/Thousand</f>
        <v>78.625</v>
      </c>
      <c r="AF40" s="13">
        <f>Drivers!AF18*Drivers!AF25/Thousand</f>
        <v>78.625</v>
      </c>
      <c r="AG40" s="13">
        <f>Drivers!AG18*Drivers!AG25/Thousand</f>
        <v>78.625</v>
      </c>
      <c r="AH40" s="13">
        <f>Drivers!AH18*Drivers!AH25/Thousand</f>
        <v>85</v>
      </c>
      <c r="AI40" s="13">
        <f>Drivers!AI18*Drivers!AI25/Thousand</f>
        <v>85</v>
      </c>
      <c r="AJ40" s="13">
        <f>Drivers!AJ18*Drivers!AJ25/Thousand</f>
        <v>85</v>
      </c>
      <c r="AK40" s="13">
        <f>Drivers!AK18*Drivers!AK25/Thousand</f>
        <v>85</v>
      </c>
    </row>
    <row r="41" spans="1:37" x14ac:dyDescent="0.45">
      <c r="A41" s="12" t="s">
        <v>485</v>
      </c>
      <c r="B41" s="57" t="s">
        <v>486</v>
      </c>
      <c r="C41" s="12" t="s">
        <v>70</v>
      </c>
      <c r="E41" s="13">
        <f>Hist_Q!E82</f>
        <v>37</v>
      </c>
      <c r="F41" s="13">
        <f>Hist_Q!F82</f>
        <v>46</v>
      </c>
      <c r="G41" s="13">
        <f>Hist_Q!G82</f>
        <v>48</v>
      </c>
      <c r="H41" s="13">
        <f>Hist_Q!H82</f>
        <v>55</v>
      </c>
      <c r="I41" s="13">
        <f>Hist_Q!I82</f>
        <v>58</v>
      </c>
      <c r="J41" s="13">
        <f>Hist_Q!J82</f>
        <v>62</v>
      </c>
      <c r="K41" s="13">
        <f>Hist_Q!K82</f>
        <v>66</v>
      </c>
      <c r="L41" s="13">
        <f>Hist_Q!L82</f>
        <v>62</v>
      </c>
      <c r="M41" s="13">
        <f>Hist_Q!M82</f>
        <v>68</v>
      </c>
      <c r="N41" s="13">
        <f>Hist_Q!N82</f>
        <v>62</v>
      </c>
      <c r="O41" s="13">
        <f>Hist_Q!O82</f>
        <v>63</v>
      </c>
      <c r="P41" s="13">
        <f>Hist_Q!P82</f>
        <v>66</v>
      </c>
      <c r="Q41" s="13">
        <f>Hist_Q!Q82</f>
        <v>69</v>
      </c>
      <c r="R41" s="13">
        <f>Hist_Q!R82</f>
        <v>61</v>
      </c>
      <c r="S41" s="13">
        <f>Hist_Q!S82</f>
        <v>69</v>
      </c>
      <c r="T41" s="13">
        <f>Hist_Q!T82</f>
        <v>73</v>
      </c>
      <c r="U41" s="13">
        <f>Hist_Q!U82</f>
        <v>74</v>
      </c>
      <c r="V41" s="13">
        <f>Hist_Q!V82</f>
        <v>73</v>
      </c>
      <c r="W41" s="13">
        <f>Hist_Q!W82</f>
        <v>85</v>
      </c>
      <c r="X41" s="13">
        <f>T41*(1+Drivers!X26)</f>
        <v>86.14</v>
      </c>
      <c r="Y41" s="13">
        <f>U41*(1+Drivers!Y26)</f>
        <v>87.32</v>
      </c>
      <c r="Z41" s="13">
        <f>V41*(1+Drivers!Z26)</f>
        <v>84.679999999999993</v>
      </c>
      <c r="AA41" s="13">
        <f>W41*(1+Drivers!AA26)</f>
        <v>98.6</v>
      </c>
      <c r="AB41" s="13">
        <f>X41*(1+Drivers!AB26)</f>
        <v>99.922399999999996</v>
      </c>
      <c r="AC41" s="13">
        <f>Y41*(1+Drivers!AC26)</f>
        <v>101.29119999999999</v>
      </c>
      <c r="AD41" s="13">
        <f>Z41*(1+Drivers!AD26)</f>
        <v>95.688399999999987</v>
      </c>
      <c r="AE41" s="13">
        <f>AA41*(1+Drivers!AE26)</f>
        <v>111.41799999999998</v>
      </c>
      <c r="AF41" s="13">
        <f>AB41*(1+Drivers!AF26)</f>
        <v>112.91231199999999</v>
      </c>
      <c r="AG41" s="13">
        <f>AC41*(1+Drivers!AG26)</f>
        <v>114.45905599999998</v>
      </c>
      <c r="AH41" s="13">
        <f>AD41*(1+Drivers!AH26)</f>
        <v>107.171008</v>
      </c>
      <c r="AI41" s="13">
        <f>AE41*(1+Drivers!AI26)</f>
        <v>124.78815999999999</v>
      </c>
      <c r="AJ41" s="13">
        <f>AF41*(1+Drivers!AJ26)</f>
        <v>126.46178943999999</v>
      </c>
      <c r="AK41" s="13">
        <f>AG41*(1+Drivers!AK26)</f>
        <v>128.19414271999997</v>
      </c>
    </row>
    <row r="42" spans="1:37" x14ac:dyDescent="0.45">
      <c r="A42" s="12" t="s">
        <v>487</v>
      </c>
      <c r="B42" s="57" t="s">
        <v>488</v>
      </c>
      <c r="C42" s="12" t="s">
        <v>70</v>
      </c>
      <c r="E42" s="13">
        <f>Hist_Q!E83</f>
        <v>44</v>
      </c>
      <c r="F42" s="13">
        <f>Hist_Q!F83</f>
        <v>42</v>
      </c>
      <c r="G42" s="13">
        <f>Hist_Q!G83</f>
        <v>46</v>
      </c>
      <c r="H42" s="13">
        <f>Hist_Q!H83</f>
        <v>57</v>
      </c>
      <c r="I42" s="13">
        <f>Hist_Q!I83</f>
        <v>61</v>
      </c>
      <c r="J42" s="13">
        <f>Hist_Q!J83</f>
        <v>61</v>
      </c>
      <c r="K42" s="13">
        <f>Hist_Q!K83</f>
        <v>61</v>
      </c>
      <c r="L42" s="13">
        <f>Hist_Q!L83</f>
        <v>64</v>
      </c>
      <c r="M42" s="13">
        <f>Hist_Q!M83</f>
        <v>65</v>
      </c>
      <c r="N42" s="13">
        <f>Hist_Q!N83</f>
        <v>56</v>
      </c>
      <c r="O42" s="13">
        <f>Hist_Q!O83</f>
        <v>55</v>
      </c>
      <c r="P42" s="13">
        <f>Hist_Q!P83</f>
        <v>59</v>
      </c>
      <c r="Q42" s="13">
        <f>Hist_Q!Q83</f>
        <v>59</v>
      </c>
      <c r="R42" s="13">
        <f>Hist_Q!R83</f>
        <v>63</v>
      </c>
      <c r="S42" s="13">
        <f>Hist_Q!S83</f>
        <v>62</v>
      </c>
      <c r="T42" s="13">
        <f>Hist_Q!T83</f>
        <v>78</v>
      </c>
      <c r="U42" s="13">
        <f>Hist_Q!U83</f>
        <v>69</v>
      </c>
      <c r="V42" s="13">
        <f>Hist_Q!V83</f>
        <v>69</v>
      </c>
      <c r="W42" s="13">
        <f>Hist_Q!W83</f>
        <v>74</v>
      </c>
      <c r="X42" s="13">
        <f>T42*(1+Drivers!X27)</f>
        <v>88.139999999999986</v>
      </c>
      <c r="Y42" s="13">
        <f>U42*(1+Drivers!Y27)</f>
        <v>77.97</v>
      </c>
      <c r="Z42" s="13">
        <f>V42*(1+Drivers!Z27)</f>
        <v>77.97</v>
      </c>
      <c r="AA42" s="13">
        <f>W42*(1+Drivers!AA27)</f>
        <v>83.61999999999999</v>
      </c>
      <c r="AB42" s="13">
        <f>X42*(1+Drivers!AB27)</f>
        <v>99.598199999999977</v>
      </c>
      <c r="AC42" s="13">
        <f>Y42*(1+Drivers!AC27)</f>
        <v>88.106099999999984</v>
      </c>
      <c r="AD42" s="13">
        <f>Z42*(1+Drivers!AD27)</f>
        <v>86.546700000000001</v>
      </c>
      <c r="AE42" s="13">
        <f>AA42*(1+Drivers!AE27)</f>
        <v>92.818200000000004</v>
      </c>
      <c r="AF42" s="13">
        <f>AB42*(1+Drivers!AF27)</f>
        <v>110.55400199999998</v>
      </c>
      <c r="AG42" s="13">
        <f>AC42*(1+Drivers!AG27)</f>
        <v>97.797770999999997</v>
      </c>
      <c r="AH42" s="13">
        <f>AD42*(1+Drivers!AH27)</f>
        <v>95.201370000000011</v>
      </c>
      <c r="AI42" s="13">
        <f>AE42*(1+Drivers!AI27)</f>
        <v>102.10002000000001</v>
      </c>
      <c r="AJ42" s="13">
        <f>AF42*(1+Drivers!AJ27)</f>
        <v>121.60940219999999</v>
      </c>
      <c r="AK42" s="13">
        <f>AG42*(1+Drivers!AK27)</f>
        <v>107.5775481</v>
      </c>
    </row>
    <row r="43" spans="1:37" x14ac:dyDescent="0.45">
      <c r="A43" s="12" t="s">
        <v>489</v>
      </c>
      <c r="B43" s="4" t="s">
        <v>490</v>
      </c>
      <c r="C43" s="12" t="s">
        <v>70</v>
      </c>
      <c r="E43" s="56">
        <f t="shared" ref="E43:AK43" si="15">E38+E41+E42</f>
        <v>129</v>
      </c>
      <c r="F43" s="56">
        <f t="shared" si="15"/>
        <v>145</v>
      </c>
      <c r="G43" s="56">
        <f t="shared" si="15"/>
        <v>157</v>
      </c>
      <c r="H43" s="56">
        <f t="shared" si="15"/>
        <v>183</v>
      </c>
      <c r="I43" s="56">
        <f t="shared" si="15"/>
        <v>192</v>
      </c>
      <c r="J43" s="56">
        <f t="shared" si="15"/>
        <v>206</v>
      </c>
      <c r="K43" s="56">
        <f t="shared" si="15"/>
        <v>211</v>
      </c>
      <c r="L43" s="56">
        <f t="shared" si="15"/>
        <v>209</v>
      </c>
      <c r="M43" s="56">
        <f t="shared" si="15"/>
        <v>219</v>
      </c>
      <c r="N43" s="56">
        <f t="shared" si="15"/>
        <v>211</v>
      </c>
      <c r="O43" s="56">
        <f t="shared" si="15"/>
        <v>215</v>
      </c>
      <c r="P43" s="56">
        <f t="shared" si="15"/>
        <v>230</v>
      </c>
      <c r="Q43" s="56">
        <f t="shared" si="15"/>
        <v>242</v>
      </c>
      <c r="R43" s="56">
        <f t="shared" si="15"/>
        <v>241</v>
      </c>
      <c r="S43" s="56">
        <f t="shared" si="15"/>
        <v>255</v>
      </c>
      <c r="T43" s="56">
        <f t="shared" si="15"/>
        <v>279</v>
      </c>
      <c r="U43" s="56">
        <f t="shared" si="15"/>
        <v>282</v>
      </c>
      <c r="V43" s="56">
        <f t="shared" si="15"/>
        <v>283</v>
      </c>
      <c r="W43" s="56">
        <f t="shared" si="15"/>
        <v>311</v>
      </c>
      <c r="X43" s="56">
        <f t="shared" si="15"/>
        <v>330.25573529411764</v>
      </c>
      <c r="Y43" s="56">
        <f t="shared" si="15"/>
        <v>325.43926470588235</v>
      </c>
      <c r="Z43" s="56">
        <f t="shared" si="15"/>
        <v>340.05441176470583</v>
      </c>
      <c r="AA43" s="56">
        <f t="shared" si="15"/>
        <v>364.03441176470585</v>
      </c>
      <c r="AB43" s="56">
        <f t="shared" si="15"/>
        <v>386.06001176470585</v>
      </c>
      <c r="AC43" s="56">
        <f t="shared" si="15"/>
        <v>380.45171176470586</v>
      </c>
      <c r="AD43" s="56">
        <f t="shared" si="15"/>
        <v>389.72186470588235</v>
      </c>
      <c r="AE43" s="56">
        <f t="shared" si="15"/>
        <v>416.34296470588237</v>
      </c>
      <c r="AF43" s="56">
        <f t="shared" si="15"/>
        <v>440.52307870588231</v>
      </c>
      <c r="AG43" s="56">
        <f t="shared" si="15"/>
        <v>434.04359170588236</v>
      </c>
      <c r="AH43" s="56">
        <f t="shared" si="15"/>
        <v>441.64149564705883</v>
      </c>
      <c r="AI43" s="56">
        <f t="shared" si="15"/>
        <v>470.98729764705882</v>
      </c>
      <c r="AJ43" s="56">
        <f t="shared" si="15"/>
        <v>497.34530928705874</v>
      </c>
      <c r="AK43" s="56">
        <f t="shared" si="15"/>
        <v>489.9908084670588</v>
      </c>
    </row>
    <row r="44" spans="1:37" x14ac:dyDescent="0.45">
      <c r="A44" s="12" t="s">
        <v>491</v>
      </c>
      <c r="B44" s="3" t="s">
        <v>74</v>
      </c>
      <c r="C44" s="12" t="s">
        <v>73</v>
      </c>
      <c r="I44" s="15">
        <f>I43/Rev_Build!I61</f>
        <v>0.92753623188405798</v>
      </c>
      <c r="J44" s="15">
        <f>J43/Rev_Build!J61</f>
        <v>0.89956331877729256</v>
      </c>
      <c r="K44" s="15">
        <f>K43/Rev_Build!K61</f>
        <v>0.79026217228464424</v>
      </c>
      <c r="L44" s="15">
        <f>L43/Rev_Build!L61</f>
        <v>0.74642857142857144</v>
      </c>
      <c r="M44" s="15">
        <f>M43/Rev_Build!M61</f>
        <v>0.77935943060498225</v>
      </c>
      <c r="N44" s="15">
        <f>N43/Rev_Build!N61</f>
        <v>0.69636963696369636</v>
      </c>
      <c r="O44" s="15">
        <f>O43/Rev_Build!O61</f>
        <v>0.625</v>
      </c>
      <c r="P44" s="15">
        <f>P43/Rev_Build!P61</f>
        <v>0.60846560846560849</v>
      </c>
      <c r="Q44" s="15">
        <f>Q43/Rev_Build!Q61</f>
        <v>0.61734693877551017</v>
      </c>
      <c r="R44" s="15">
        <f>R43/Rev_Build!R61</f>
        <v>0.58072289156626511</v>
      </c>
      <c r="S44" s="15">
        <f>S43/Rev_Build!S61</f>
        <v>0.54956896551724133</v>
      </c>
      <c r="T44" s="15">
        <f>T43/Rev_Build!T61</f>
        <v>0.55247524752475252</v>
      </c>
      <c r="U44" s="15">
        <f>U43/Rev_Build!U61</f>
        <v>0.56063618290258455</v>
      </c>
      <c r="V44" s="15">
        <f>V43/Rev_Build!V61</f>
        <v>0.53497164461247637</v>
      </c>
      <c r="W44" s="15">
        <f>W43/Rev_Build!W61</f>
        <v>0.52268907563025213</v>
      </c>
      <c r="X44" s="15">
        <f>X43/Rev_Build!X61</f>
        <v>0.51945274106558126</v>
      </c>
      <c r="Y44" s="15">
        <f>Y43/Rev_Build!Y61</f>
        <v>0.52056511481400725</v>
      </c>
      <c r="Z44" s="15">
        <f>Z43/Rev_Build!Z61</f>
        <v>0.52535160271046066</v>
      </c>
      <c r="AA44" s="15">
        <f>AA43/Rev_Build!AA61</f>
        <v>0.50441816852886401</v>
      </c>
      <c r="AB44" s="15">
        <f>AB43/Rev_Build!AB61</f>
        <v>0.5024875898599731</v>
      </c>
      <c r="AC44" s="15">
        <f>AC43/Rev_Build!AC61</f>
        <v>0.50579187008893589</v>
      </c>
      <c r="AD44" s="15">
        <f>AD43/Rev_Build!AD61</f>
        <v>0.5050172873770028</v>
      </c>
      <c r="AE44" s="15">
        <f>AE43/Rev_Build!AE61</f>
        <v>0.48674615874774579</v>
      </c>
      <c r="AF44" s="15">
        <f>AF43/Rev_Build!AF61</f>
        <v>0.48665199494831485</v>
      </c>
      <c r="AG44" s="15">
        <f>AG43/Rev_Build!AG61</f>
        <v>0.49181170837853933</v>
      </c>
      <c r="AH44" s="15">
        <f>AH43/Rev_Build!AH61</f>
        <v>0.49224139244727633</v>
      </c>
      <c r="AI44" s="15">
        <f>AI43/Rev_Build!AI61</f>
        <v>0.47567724483420259</v>
      </c>
      <c r="AJ44" s="15">
        <f>AJ43/Rev_Build!AJ61</f>
        <v>0.47680398223890841</v>
      </c>
      <c r="AK44" s="15">
        <f>AK43/Rev_Build!AK61</f>
        <v>0.48338490265602424</v>
      </c>
    </row>
    <row r="45" spans="1:37" x14ac:dyDescent="0.45">
      <c r="A45" s="12" t="s">
        <v>492</v>
      </c>
      <c r="B45" s="3" t="s">
        <v>493</v>
      </c>
      <c r="C45" s="12" t="s">
        <v>70</v>
      </c>
      <c r="E45" s="50">
        <f t="shared" ref="E45:W45" si="16">E23+E24+E25-E43</f>
        <v>60</v>
      </c>
      <c r="F45" s="50">
        <f t="shared" si="16"/>
        <v>45</v>
      </c>
      <c r="G45" s="50">
        <f t="shared" si="16"/>
        <v>55</v>
      </c>
      <c r="H45" s="50">
        <f t="shared" si="16"/>
        <v>53</v>
      </c>
      <c r="I45" s="50">
        <f t="shared" si="16"/>
        <v>65</v>
      </c>
      <c r="J45" s="50">
        <f t="shared" si="16"/>
        <v>60</v>
      </c>
      <c r="K45" s="50">
        <f t="shared" si="16"/>
        <v>77</v>
      </c>
      <c r="L45" s="50">
        <f t="shared" si="16"/>
        <v>76</v>
      </c>
      <c r="M45" s="50">
        <f t="shared" si="16"/>
        <v>63</v>
      </c>
      <c r="N45" s="50">
        <f t="shared" si="16"/>
        <v>53</v>
      </c>
      <c r="O45" s="50">
        <f t="shared" si="16"/>
        <v>62</v>
      </c>
      <c r="P45" s="50">
        <f t="shared" si="16"/>
        <v>58</v>
      </c>
      <c r="Q45" s="50">
        <f t="shared" si="16"/>
        <v>59</v>
      </c>
      <c r="R45" s="50">
        <f t="shared" si="16"/>
        <v>55</v>
      </c>
      <c r="S45" s="50">
        <f t="shared" si="16"/>
        <v>56</v>
      </c>
      <c r="T45" s="50">
        <f t="shared" si="16"/>
        <v>69</v>
      </c>
      <c r="U45" s="50">
        <f t="shared" si="16"/>
        <v>52</v>
      </c>
      <c r="V45" s="50">
        <f t="shared" si="16"/>
        <v>54</v>
      </c>
      <c r="W45" s="50">
        <f t="shared" si="16"/>
        <v>53</v>
      </c>
      <c r="X45" s="13">
        <f>X51+X50+X53-Rev_Build!X60-Rev_Build!X52-Rev_Build!X55</f>
        <v>67.48262875919113</v>
      </c>
      <c r="Y45" s="13">
        <f>Y51+Y50+Y53-Rev_Build!Y60-Rev_Build!Y52-Rev_Build!Y55</f>
        <v>66.680435554840983</v>
      </c>
      <c r="Z45" s="13">
        <f>Z51+Z50+Z53-Rev_Build!Z60-Rev_Build!Z52-Rev_Build!Z55</f>
        <v>62.746603946623878</v>
      </c>
      <c r="AA45" s="13">
        <f>AA51+AA50+AA53-Rev_Build!AA60-Rev_Build!AA52-Rev_Build!AA55</f>
        <v>69.630412349064571</v>
      </c>
      <c r="AB45" s="13">
        <f>AB51+AB50+AB53-Rev_Build!AB60-Rev_Build!AB52-Rev_Build!AB55</f>
        <v>74.255682529255395</v>
      </c>
      <c r="AC45" s="13">
        <f>AC51+AC50+AC53-Rev_Build!AC60-Rev_Build!AC52-Rev_Build!AC55</f>
        <v>73.259669097007858</v>
      </c>
      <c r="AD45" s="13">
        <f>AD51+AD50+AD53-Rev_Build!AD60-Rev_Build!AD52-Rev_Build!AD55</f>
        <v>71.598446662494098</v>
      </c>
      <c r="AE45" s="13">
        <f>AE51+AE50+AE53-Rev_Build!AE60-Rev_Build!AE52-Rev_Build!AE55</f>
        <v>79.036975842300009</v>
      </c>
      <c r="AF45" s="13">
        <f>AF51+AF50+AF53-Rev_Build!AF60-Rev_Build!AF52-Rev_Build!AF55</f>
        <v>83.863577269473708</v>
      </c>
      <c r="AG45" s="13">
        <f>AG51+AG50+AG53-Rev_Build!AG60-Rev_Build!AG52-Rev_Build!AG55</f>
        <v>82.53297460352691</v>
      </c>
      <c r="AH45" s="13">
        <f>AH51+AH50+AH53-Rev_Build!AH60-Rev_Build!AH52-Rev_Build!AH55</f>
        <v>79.850122324480964</v>
      </c>
      <c r="AI45" s="13">
        <f>AI51+AI50+AI53-Rev_Build!AI60-Rev_Build!AI52-Rev_Build!AI55</f>
        <v>87.702906154902024</v>
      </c>
      <c r="AJ45" s="13">
        <f>AJ51+AJ50+AJ53-Rev_Build!AJ60-Rev_Build!AJ52-Rev_Build!AJ55</f>
        <v>92.641275448825297</v>
      </c>
      <c r="AK45" s="13">
        <f>AK51+AK50+AK53-Rev_Build!AK60-Rev_Build!AK52-Rev_Build!AK55</f>
        <v>90.987019129404729</v>
      </c>
    </row>
    <row r="46" spans="1:37" x14ac:dyDescent="0.45">
      <c r="A46" s="12" t="s">
        <v>494</v>
      </c>
      <c r="B46" s="57" t="s">
        <v>495</v>
      </c>
      <c r="C46" s="12" t="s">
        <v>73</v>
      </c>
      <c r="X46" s="51">
        <f t="shared" ref="X46:AK46" si="17">(SUM($T$23:$W$23)-SUM($T$38:$W$38))/SUM($T$45:$W$45)</f>
        <v>0.25877192982456143</v>
      </c>
      <c r="Y46" s="51">
        <f t="shared" si="17"/>
        <v>0.25877192982456143</v>
      </c>
      <c r="Z46" s="51">
        <f t="shared" si="17"/>
        <v>0.25877192982456143</v>
      </c>
      <c r="AA46" s="51">
        <f t="shared" si="17"/>
        <v>0.25877192982456143</v>
      </c>
      <c r="AB46" s="51">
        <f t="shared" si="17"/>
        <v>0.25877192982456143</v>
      </c>
      <c r="AC46" s="51">
        <f t="shared" si="17"/>
        <v>0.25877192982456143</v>
      </c>
      <c r="AD46" s="51">
        <f t="shared" si="17"/>
        <v>0.25877192982456143</v>
      </c>
      <c r="AE46" s="51">
        <f t="shared" si="17"/>
        <v>0.25877192982456143</v>
      </c>
      <c r="AF46" s="51">
        <f t="shared" si="17"/>
        <v>0.25877192982456143</v>
      </c>
      <c r="AG46" s="51">
        <f t="shared" si="17"/>
        <v>0.25877192982456143</v>
      </c>
      <c r="AH46" s="51">
        <f t="shared" si="17"/>
        <v>0.25877192982456143</v>
      </c>
      <c r="AI46" s="51">
        <f t="shared" si="17"/>
        <v>0.25877192982456143</v>
      </c>
      <c r="AJ46" s="51">
        <f t="shared" si="17"/>
        <v>0.25877192982456143</v>
      </c>
      <c r="AK46" s="51">
        <f t="shared" si="17"/>
        <v>0.25877192982456143</v>
      </c>
    </row>
    <row r="47" spans="1:37" x14ac:dyDescent="0.45">
      <c r="A47" s="12" t="s">
        <v>496</v>
      </c>
      <c r="B47" s="57" t="s">
        <v>497</v>
      </c>
      <c r="C47" s="12" t="s">
        <v>73</v>
      </c>
      <c r="X47" s="51">
        <f t="shared" ref="X47:AK47" si="18">(SUM($T$24:$W$24)-SUM($T$41:$W$41))/SUM($T$45:$W$45)</f>
        <v>0.43859649122807015</v>
      </c>
      <c r="Y47" s="51">
        <f t="shared" si="18"/>
        <v>0.43859649122807015</v>
      </c>
      <c r="Z47" s="51">
        <f t="shared" si="18"/>
        <v>0.43859649122807015</v>
      </c>
      <c r="AA47" s="51">
        <f t="shared" si="18"/>
        <v>0.43859649122807015</v>
      </c>
      <c r="AB47" s="51">
        <f t="shared" si="18"/>
        <v>0.43859649122807015</v>
      </c>
      <c r="AC47" s="51">
        <f t="shared" si="18"/>
        <v>0.43859649122807015</v>
      </c>
      <c r="AD47" s="51">
        <f t="shared" si="18"/>
        <v>0.43859649122807015</v>
      </c>
      <c r="AE47" s="51">
        <f t="shared" si="18"/>
        <v>0.43859649122807015</v>
      </c>
      <c r="AF47" s="51">
        <f t="shared" si="18"/>
        <v>0.43859649122807015</v>
      </c>
      <c r="AG47" s="51">
        <f t="shared" si="18"/>
        <v>0.43859649122807015</v>
      </c>
      <c r="AH47" s="51">
        <f t="shared" si="18"/>
        <v>0.43859649122807015</v>
      </c>
      <c r="AI47" s="51">
        <f t="shared" si="18"/>
        <v>0.43859649122807015</v>
      </c>
      <c r="AJ47" s="51">
        <f t="shared" si="18"/>
        <v>0.43859649122807015</v>
      </c>
      <c r="AK47" s="51">
        <f t="shared" si="18"/>
        <v>0.43859649122807015</v>
      </c>
    </row>
    <row r="48" spans="1:37" x14ac:dyDescent="0.45">
      <c r="A48" s="12" t="s">
        <v>498</v>
      </c>
      <c r="B48" s="57" t="s">
        <v>499</v>
      </c>
      <c r="C48" s="12" t="s">
        <v>73</v>
      </c>
      <c r="X48" s="51">
        <f t="shared" ref="X48:AK48" si="19">(SUM($T$25:$W$25)-SUM($T$42:$W$42))/SUM($T$45:$W$45)</f>
        <v>0.30263157894736842</v>
      </c>
      <c r="Y48" s="51">
        <f t="shared" si="19"/>
        <v>0.30263157894736842</v>
      </c>
      <c r="Z48" s="51">
        <f t="shared" si="19"/>
        <v>0.30263157894736842</v>
      </c>
      <c r="AA48" s="51">
        <f t="shared" si="19"/>
        <v>0.30263157894736842</v>
      </c>
      <c r="AB48" s="51">
        <f t="shared" si="19"/>
        <v>0.30263157894736842</v>
      </c>
      <c r="AC48" s="51">
        <f t="shared" si="19"/>
        <v>0.30263157894736842</v>
      </c>
      <c r="AD48" s="51">
        <f t="shared" si="19"/>
        <v>0.30263157894736842</v>
      </c>
      <c r="AE48" s="51">
        <f t="shared" si="19"/>
        <v>0.30263157894736842</v>
      </c>
      <c r="AF48" s="51">
        <f t="shared" si="19"/>
        <v>0.30263157894736842</v>
      </c>
      <c r="AG48" s="51">
        <f t="shared" si="19"/>
        <v>0.30263157894736842</v>
      </c>
      <c r="AH48" s="51">
        <f t="shared" si="19"/>
        <v>0.30263157894736842</v>
      </c>
      <c r="AI48" s="51">
        <f t="shared" si="19"/>
        <v>0.30263157894736842</v>
      </c>
      <c r="AJ48" s="51">
        <f t="shared" si="19"/>
        <v>0.30263157894736842</v>
      </c>
      <c r="AK48" s="51">
        <f t="shared" si="19"/>
        <v>0.30263157894736842</v>
      </c>
    </row>
    <row r="49" spans="1:37" x14ac:dyDescent="0.45">
      <c r="A49" s="21"/>
      <c r="B49" s="22" t="s">
        <v>500</v>
      </c>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row>
    <row r="50" spans="1:37" x14ac:dyDescent="0.45">
      <c r="A50" s="12" t="s">
        <v>501</v>
      </c>
      <c r="B50" s="57" t="s">
        <v>502</v>
      </c>
      <c r="C50" s="12" t="s">
        <v>70</v>
      </c>
      <c r="E50" s="13">
        <f>Hist_Q!E39</f>
        <v>5</v>
      </c>
      <c r="F50" s="13">
        <f>Hist_Q!F39</f>
        <v>6</v>
      </c>
      <c r="G50" s="13">
        <f>Hist_Q!G39</f>
        <v>6</v>
      </c>
      <c r="H50" s="13">
        <f>Hist_Q!H39</f>
        <v>6</v>
      </c>
      <c r="I50" s="13">
        <f>Hist_Q!I39</f>
        <v>6</v>
      </c>
      <c r="J50" s="13">
        <f>Hist_Q!J39</f>
        <v>6</v>
      </c>
      <c r="K50" s="13">
        <f>Hist_Q!K39</f>
        <v>8</v>
      </c>
      <c r="L50" s="13">
        <f>Hist_Q!L39</f>
        <v>8</v>
      </c>
      <c r="M50" s="13">
        <f>Hist_Q!M39</f>
        <v>10</v>
      </c>
      <c r="N50" s="13">
        <f>Hist_Q!N39</f>
        <v>11</v>
      </c>
      <c r="O50" s="13">
        <f>Hist_Q!O39</f>
        <v>12</v>
      </c>
      <c r="P50" s="13">
        <f>Hist_Q!P39</f>
        <v>12</v>
      </c>
      <c r="Q50" s="13">
        <f>Hist_Q!Q39</f>
        <v>11</v>
      </c>
      <c r="R50" s="13">
        <f>Hist_Q!R39</f>
        <v>19</v>
      </c>
      <c r="S50" s="13">
        <f>Hist_Q!S39</f>
        <v>16</v>
      </c>
      <c r="T50" s="13">
        <f>Hist_Q!T39</f>
        <v>13</v>
      </c>
      <c r="U50" s="13">
        <f>Hist_Q!U39</f>
        <v>16</v>
      </c>
      <c r="V50" s="13">
        <f>Hist_Q!V39</f>
        <v>10</v>
      </c>
      <c r="W50" s="13">
        <f>Hist_Q!W39</f>
        <v>12</v>
      </c>
      <c r="X50" s="13">
        <f>Schedules!X43</f>
        <v>15.154999999999999</v>
      </c>
      <c r="Y50" s="13">
        <f>Schedules!Y43</f>
        <v>15.413901994546874</v>
      </c>
      <c r="Z50" s="13">
        <f>Schedules!Z43</f>
        <v>15.64057712397242</v>
      </c>
      <c r="AA50" s="13">
        <f>Schedules!AA43</f>
        <v>15.828158241372277</v>
      </c>
      <c r="AB50" s="13">
        <f>Schedules!AB43</f>
        <v>16.258898091243836</v>
      </c>
      <c r="AC50" s="13">
        <f>Schedules!AC43</f>
        <v>16.712546854210984</v>
      </c>
      <c r="AD50" s="13">
        <f>Schedules!AD43</f>
        <v>17.103942616792605</v>
      </c>
      <c r="AE50" s="13">
        <f>Schedules!AE43</f>
        <v>17.431415944208876</v>
      </c>
      <c r="AF50" s="13">
        <f>Schedules!AF43</f>
        <v>18.02058293534628</v>
      </c>
      <c r="AG50" s="13">
        <f>Schedules!AG43</f>
        <v>18.617059637542553</v>
      </c>
      <c r="AH50" s="13">
        <f>Schedules!AH43</f>
        <v>19.12371303856537</v>
      </c>
      <c r="AI50" s="13">
        <f>Schedules!AI43</f>
        <v>19.541667398047615</v>
      </c>
      <c r="AJ50" s="13">
        <f>Schedules!AJ43</f>
        <v>20.244772850135526</v>
      </c>
      <c r="AK50" s="13">
        <f>Schedules!AK43</f>
        <v>20.943744469854959</v>
      </c>
    </row>
    <row r="51" spans="1:37" x14ac:dyDescent="0.45">
      <c r="A51" s="12" t="s">
        <v>503</v>
      </c>
      <c r="B51" s="57" t="s">
        <v>504</v>
      </c>
      <c r="C51" s="12" t="s">
        <v>70</v>
      </c>
      <c r="E51" s="13">
        <f>Hist_Q!E40</f>
        <v>45</v>
      </c>
      <c r="F51" s="13">
        <f>Hist_Q!F40</f>
        <v>53</v>
      </c>
      <c r="G51" s="13">
        <f>Hist_Q!G40</f>
        <v>57</v>
      </c>
      <c r="H51" s="13">
        <f>Hist_Q!H40</f>
        <v>57</v>
      </c>
      <c r="I51" s="13">
        <f>Hist_Q!I40</f>
        <v>61</v>
      </c>
      <c r="J51" s="13">
        <f>Hist_Q!J40</f>
        <v>63</v>
      </c>
      <c r="K51" s="13">
        <f>Hist_Q!K40</f>
        <v>72</v>
      </c>
      <c r="L51" s="13">
        <f>Hist_Q!L40</f>
        <v>71</v>
      </c>
      <c r="M51" s="13">
        <f>Hist_Q!M40</f>
        <v>71</v>
      </c>
      <c r="N51" s="13">
        <f>Hist_Q!N40</f>
        <v>66</v>
      </c>
      <c r="O51" s="13">
        <f>Hist_Q!O40</f>
        <v>67</v>
      </c>
      <c r="P51" s="13">
        <f>Hist_Q!P40</f>
        <v>60</v>
      </c>
      <c r="Q51" s="13">
        <f>Hist_Q!Q40</f>
        <v>60</v>
      </c>
      <c r="R51" s="13">
        <f>Hist_Q!R40</f>
        <v>60</v>
      </c>
      <c r="S51" s="13">
        <f>Hist_Q!S40</f>
        <v>60</v>
      </c>
      <c r="T51" s="13">
        <f>Hist_Q!T40</f>
        <v>66</v>
      </c>
      <c r="U51" s="13">
        <f>Hist_Q!U40</f>
        <v>56</v>
      </c>
      <c r="V51" s="13">
        <f>Hist_Q!V40</f>
        <v>54</v>
      </c>
      <c r="W51" s="13">
        <f>Hist_Q!W40</f>
        <v>55</v>
      </c>
      <c r="X51" s="13">
        <f>Rev_Build!X58*Drivers!X34</f>
        <v>62.577628759191136</v>
      </c>
      <c r="Y51" s="13">
        <f>Rev_Build!Y58*Drivers!Y34</f>
        <v>61.516533560294107</v>
      </c>
      <c r="Z51" s="13">
        <f>Rev_Build!Z58*Drivers!Z34</f>
        <v>57.356026822651451</v>
      </c>
      <c r="AA51" s="13">
        <f>Rev_Build!AA58*Drivers!AA34</f>
        <v>64.052254107692292</v>
      </c>
      <c r="AB51" s="13">
        <f>Rev_Build!AB58*Drivers!AB34</f>
        <v>68.246784438011559</v>
      </c>
      <c r="AC51" s="13">
        <f>Rev_Build!AC58*Drivers!AC34</f>
        <v>66.797122242796874</v>
      </c>
      <c r="AD51" s="13">
        <f>Rev_Build!AD58*Drivers!AD34</f>
        <v>64.74450404570149</v>
      </c>
      <c r="AE51" s="13">
        <f>Rev_Build!AE58*Drivers!AE34</f>
        <v>71.85555989809113</v>
      </c>
      <c r="AF51" s="13">
        <f>Rev_Build!AF58*Drivers!AF34</f>
        <v>76.092994334127425</v>
      </c>
      <c r="AG51" s="13">
        <f>Rev_Build!AG58*Drivers!AG34</f>
        <v>74.165914965984356</v>
      </c>
      <c r="AH51" s="13">
        <f>Rev_Build!AH58*Drivers!AH34</f>
        <v>70.976409285915594</v>
      </c>
      <c r="AI51" s="13">
        <f>Rev_Build!AI58*Drivers!AI34</f>
        <v>78.411238756854402</v>
      </c>
      <c r="AJ51" s="13">
        <f>Rev_Build!AJ58*Drivers!AJ34</f>
        <v>82.646502598689764</v>
      </c>
      <c r="AK51" s="13">
        <f>Rev_Build!AK58*Drivers!AK34</f>
        <v>80.293274659549766</v>
      </c>
    </row>
    <row r="52" spans="1:37" x14ac:dyDescent="0.45">
      <c r="A52" s="12" t="s">
        <v>505</v>
      </c>
      <c r="B52" s="3" t="s">
        <v>506</v>
      </c>
      <c r="C52" s="12" t="s">
        <v>70</v>
      </c>
      <c r="E52" s="59">
        <f t="shared" ref="E52:AK52" si="20">E29+E50+E51+E26</f>
        <v>-66</v>
      </c>
      <c r="F52" s="59">
        <f t="shared" si="20"/>
        <v>-42</v>
      </c>
      <c r="G52" s="59">
        <f t="shared" si="20"/>
        <v>-36</v>
      </c>
      <c r="H52" s="59">
        <f t="shared" si="20"/>
        <v>-22</v>
      </c>
      <c r="I52" s="59">
        <f t="shared" si="20"/>
        <v>-32</v>
      </c>
      <c r="J52" s="59">
        <f t="shared" si="20"/>
        <v>-23</v>
      </c>
      <c r="K52" s="59">
        <f t="shared" si="20"/>
        <v>0</v>
      </c>
      <c r="L52" s="59">
        <f t="shared" si="20"/>
        <v>20</v>
      </c>
      <c r="M52" s="59">
        <f t="shared" si="20"/>
        <v>25</v>
      </c>
      <c r="N52" s="59">
        <f t="shared" si="20"/>
        <v>62</v>
      </c>
      <c r="O52" s="59">
        <f t="shared" si="20"/>
        <v>88</v>
      </c>
      <c r="P52" s="59">
        <f t="shared" si="20"/>
        <v>106</v>
      </c>
      <c r="Q52" s="59">
        <f t="shared" si="20"/>
        <v>103</v>
      </c>
      <c r="R52" s="59">
        <f t="shared" si="20"/>
        <v>129</v>
      </c>
      <c r="S52" s="59">
        <f t="shared" si="20"/>
        <v>157</v>
      </c>
      <c r="T52" s="59">
        <f t="shared" si="20"/>
        <v>163</v>
      </c>
      <c r="U52" s="59">
        <f t="shared" si="20"/>
        <v>161</v>
      </c>
      <c r="V52" s="59">
        <f t="shared" si="20"/>
        <v>174</v>
      </c>
      <c r="W52" s="59">
        <f t="shared" si="20"/>
        <v>219</v>
      </c>
      <c r="X52" s="59">
        <f t="shared" si="20"/>
        <v>238.73172876838197</v>
      </c>
      <c r="Y52" s="59">
        <f t="shared" si="20"/>
        <v>229.7925414852939</v>
      </c>
      <c r="Z52" s="59">
        <f t="shared" si="20"/>
        <v>248.88477515364374</v>
      </c>
      <c r="AA52" s="59">
        <f t="shared" si="20"/>
        <v>280.10730054298625</v>
      </c>
      <c r="AB52" s="59">
        <f t="shared" si="20"/>
        <v>314.2875931020892</v>
      </c>
      <c r="AC52" s="59">
        <f t="shared" si="20"/>
        <v>300.58853537748149</v>
      </c>
      <c r="AD52" s="59">
        <f t="shared" si="20"/>
        <v>324.34818289060559</v>
      </c>
      <c r="AE52" s="59">
        <f t="shared" si="20"/>
        <v>362.42656350695427</v>
      </c>
      <c r="AF52" s="59">
        <f t="shared" si="20"/>
        <v>397.57861934267555</v>
      </c>
      <c r="AG52" s="59">
        <f t="shared" si="20"/>
        <v>378.22658436452184</v>
      </c>
      <c r="AH52" s="59">
        <f t="shared" si="20"/>
        <v>398.6536204268856</v>
      </c>
      <c r="AI52" s="59">
        <f t="shared" si="20"/>
        <v>443.52318681362107</v>
      </c>
      <c r="AJ52" s="59">
        <f t="shared" si="20"/>
        <v>479.46597319656343</v>
      </c>
      <c r="AK52" s="59">
        <f t="shared" si="20"/>
        <v>454.28512477731323</v>
      </c>
    </row>
    <row r="53" spans="1:37" x14ac:dyDescent="0.45">
      <c r="A53" s="12" t="s">
        <v>507</v>
      </c>
      <c r="B53" s="57" t="s">
        <v>508</v>
      </c>
      <c r="C53" s="12" t="s">
        <v>70</v>
      </c>
      <c r="E53" s="13">
        <f>Hist_Q!E76-E52</f>
        <v>21</v>
      </c>
      <c r="F53" s="13">
        <f>Hist_Q!F76-F52</f>
        <v>-3</v>
      </c>
      <c r="G53" s="13">
        <f>Hist_Q!G76-G52</f>
        <v>3</v>
      </c>
      <c r="H53" s="13">
        <f>Hist_Q!H76-H52</f>
        <v>3</v>
      </c>
      <c r="I53" s="13">
        <f>Hist_Q!I76-I52</f>
        <v>14</v>
      </c>
      <c r="J53" s="13">
        <f>Hist_Q!J76-J52</f>
        <v>6</v>
      </c>
      <c r="K53" s="13">
        <f>Hist_Q!K76-K52</f>
        <v>15</v>
      </c>
      <c r="L53" s="13">
        <f>Hist_Q!L76-L52</f>
        <v>15</v>
      </c>
      <c r="M53" s="13">
        <f>Hist_Q!M76-M52</f>
        <v>4</v>
      </c>
      <c r="N53" s="13">
        <f>Hist_Q!N76-N52</f>
        <v>-5</v>
      </c>
      <c r="O53" s="13">
        <f>Hist_Q!O76-O52</f>
        <v>4</v>
      </c>
      <c r="P53" s="13">
        <f>Hist_Q!P76-P52</f>
        <v>7</v>
      </c>
      <c r="Q53" s="13">
        <f>Hist_Q!Q76-Q52</f>
        <v>8</v>
      </c>
      <c r="R53" s="13">
        <f>Hist_Q!R76-R52</f>
        <v>4</v>
      </c>
      <c r="S53" s="13">
        <f>Hist_Q!S76-S52</f>
        <v>4</v>
      </c>
      <c r="T53" s="13">
        <f>Hist_Q!T76-T52</f>
        <v>13</v>
      </c>
      <c r="U53" s="13">
        <f>Hist_Q!U76-U52</f>
        <v>2</v>
      </c>
      <c r="V53" s="13">
        <f>Hist_Q!V76-V52</f>
        <v>5</v>
      </c>
      <c r="W53" s="13">
        <f>Hist_Q!W76-W52</f>
        <v>2</v>
      </c>
      <c r="X53" s="13">
        <f>Drivers!X35</f>
        <v>5.5</v>
      </c>
      <c r="Y53" s="13">
        <f>Drivers!Y35</f>
        <v>5.5</v>
      </c>
      <c r="Z53" s="13">
        <f>Drivers!Z35</f>
        <v>5.5</v>
      </c>
      <c r="AA53" s="13">
        <f>Drivers!AA35</f>
        <v>5.5</v>
      </c>
      <c r="AB53" s="13">
        <f>Drivers!AB35</f>
        <v>5.5</v>
      </c>
      <c r="AC53" s="13">
        <f>Drivers!AC35</f>
        <v>5.5</v>
      </c>
      <c r="AD53" s="13">
        <f>Drivers!AD35</f>
        <v>5.5</v>
      </c>
      <c r="AE53" s="13">
        <f>Drivers!AE35</f>
        <v>5.5</v>
      </c>
      <c r="AF53" s="13">
        <f>Drivers!AF35</f>
        <v>5.5</v>
      </c>
      <c r="AG53" s="13">
        <f>Drivers!AG35</f>
        <v>5.5</v>
      </c>
      <c r="AH53" s="13">
        <f>Drivers!AH35</f>
        <v>5.5</v>
      </c>
      <c r="AI53" s="13">
        <f>Drivers!AI35</f>
        <v>5.5</v>
      </c>
      <c r="AJ53" s="13">
        <f>Drivers!AJ35</f>
        <v>5.5</v>
      </c>
      <c r="AK53" s="13">
        <f>Drivers!AK35</f>
        <v>5.5</v>
      </c>
    </row>
    <row r="54" spans="1:37" x14ac:dyDescent="0.45">
      <c r="A54" s="12" t="s">
        <v>509</v>
      </c>
      <c r="B54" s="4" t="s">
        <v>75</v>
      </c>
      <c r="C54" s="12" t="s">
        <v>70</v>
      </c>
      <c r="E54" s="56">
        <f t="shared" ref="E54:AK54" si="21">E52+E53</f>
        <v>-45</v>
      </c>
      <c r="F54" s="56">
        <f t="shared" si="21"/>
        <v>-45</v>
      </c>
      <c r="G54" s="56">
        <f t="shared" si="21"/>
        <v>-33</v>
      </c>
      <c r="H54" s="56">
        <f t="shared" si="21"/>
        <v>-19</v>
      </c>
      <c r="I54" s="56">
        <f t="shared" si="21"/>
        <v>-18</v>
      </c>
      <c r="J54" s="56">
        <f t="shared" si="21"/>
        <v>-17</v>
      </c>
      <c r="K54" s="56">
        <f t="shared" si="21"/>
        <v>15</v>
      </c>
      <c r="L54" s="56">
        <f t="shared" si="21"/>
        <v>35</v>
      </c>
      <c r="M54" s="56">
        <f t="shared" si="21"/>
        <v>29</v>
      </c>
      <c r="N54" s="56">
        <f t="shared" si="21"/>
        <v>57</v>
      </c>
      <c r="O54" s="56">
        <f t="shared" si="21"/>
        <v>92</v>
      </c>
      <c r="P54" s="56">
        <f t="shared" si="21"/>
        <v>113</v>
      </c>
      <c r="Q54" s="56">
        <f t="shared" si="21"/>
        <v>111</v>
      </c>
      <c r="R54" s="56">
        <f t="shared" si="21"/>
        <v>133</v>
      </c>
      <c r="S54" s="56">
        <f t="shared" si="21"/>
        <v>161</v>
      </c>
      <c r="T54" s="56">
        <f t="shared" si="21"/>
        <v>176</v>
      </c>
      <c r="U54" s="56">
        <f t="shared" si="21"/>
        <v>163</v>
      </c>
      <c r="V54" s="56">
        <f t="shared" si="21"/>
        <v>179</v>
      </c>
      <c r="W54" s="56">
        <f t="shared" si="21"/>
        <v>221</v>
      </c>
      <c r="X54" s="56">
        <f t="shared" si="21"/>
        <v>244.23172876838197</v>
      </c>
      <c r="Y54" s="56">
        <f t="shared" si="21"/>
        <v>235.2925414852939</v>
      </c>
      <c r="Z54" s="56">
        <f t="shared" si="21"/>
        <v>254.38477515364374</v>
      </c>
      <c r="AA54" s="56">
        <f t="shared" si="21"/>
        <v>285.60730054298625</v>
      </c>
      <c r="AB54" s="56">
        <f t="shared" si="21"/>
        <v>319.7875931020892</v>
      </c>
      <c r="AC54" s="56">
        <f t="shared" si="21"/>
        <v>306.08853537748149</v>
      </c>
      <c r="AD54" s="56">
        <f t="shared" si="21"/>
        <v>329.84818289060559</v>
      </c>
      <c r="AE54" s="56">
        <f t="shared" si="21"/>
        <v>367.92656350695427</v>
      </c>
      <c r="AF54" s="56">
        <f t="shared" si="21"/>
        <v>403.07861934267555</v>
      </c>
      <c r="AG54" s="56">
        <f t="shared" si="21"/>
        <v>383.72658436452184</v>
      </c>
      <c r="AH54" s="56">
        <f t="shared" si="21"/>
        <v>404.1536204268856</v>
      </c>
      <c r="AI54" s="56">
        <f t="shared" si="21"/>
        <v>449.02318681362107</v>
      </c>
      <c r="AJ54" s="56">
        <f t="shared" si="21"/>
        <v>484.96597319656343</v>
      </c>
      <c r="AK54" s="56">
        <f t="shared" si="21"/>
        <v>459.78512477731323</v>
      </c>
    </row>
    <row r="55" spans="1:37" x14ac:dyDescent="0.45">
      <c r="A55" s="12" t="s">
        <v>510</v>
      </c>
      <c r="B55" s="3" t="s">
        <v>511</v>
      </c>
      <c r="C55" s="12" t="s">
        <v>73</v>
      </c>
      <c r="E55" s="51">
        <f t="shared" ref="E55:AK55" si="22">E54/E13</f>
        <v>-8.7890625E-2</v>
      </c>
      <c r="F55" s="51">
        <f t="shared" si="22"/>
        <v>-8.4112149532710276E-2</v>
      </c>
      <c r="G55" s="51">
        <f t="shared" si="22"/>
        <v>-4.8888888888888891E-2</v>
      </c>
      <c r="H55" s="51">
        <f t="shared" si="22"/>
        <v>-2.5265957446808509E-2</v>
      </c>
      <c r="I55" s="51">
        <f t="shared" si="22"/>
        <v>-2.34375E-2</v>
      </c>
      <c r="J55" s="51">
        <f t="shared" si="22"/>
        <v>-2.0757020757020756E-2</v>
      </c>
      <c r="K55" s="51">
        <f t="shared" si="22"/>
        <v>1.5337423312883436E-2</v>
      </c>
      <c r="L55" s="51">
        <f t="shared" si="22"/>
        <v>3.391472868217054E-2</v>
      </c>
      <c r="M55" s="51">
        <f t="shared" si="22"/>
        <v>2.7992277992277992E-2</v>
      </c>
      <c r="N55" s="51">
        <f t="shared" si="22"/>
        <v>5.3023255813953486E-2</v>
      </c>
      <c r="O55" s="51">
        <f t="shared" si="22"/>
        <v>7.407407407407407E-2</v>
      </c>
      <c r="P55" s="51">
        <f t="shared" si="22"/>
        <v>8.6590038314176249E-2</v>
      </c>
      <c r="Q55" s="51">
        <f t="shared" si="22"/>
        <v>8.2959641255605385E-2</v>
      </c>
      <c r="R55" s="51">
        <f t="shared" si="22"/>
        <v>9.947643979057591E-2</v>
      </c>
      <c r="S55" s="51">
        <f t="shared" si="22"/>
        <v>0.10387096774193548</v>
      </c>
      <c r="T55" s="51">
        <f t="shared" si="22"/>
        <v>0.10777709736680956</v>
      </c>
      <c r="U55" s="51">
        <f t="shared" si="22"/>
        <v>9.9816289038579295E-2</v>
      </c>
      <c r="V55" s="51">
        <f t="shared" si="22"/>
        <v>0.1098159509202454</v>
      </c>
      <c r="W55" s="51">
        <f t="shared" si="22"/>
        <v>0.11582809224318659</v>
      </c>
      <c r="X55" s="51">
        <f t="shared" si="22"/>
        <v>0.12298191640020043</v>
      </c>
      <c r="Y55" s="51">
        <f t="shared" si="22"/>
        <v>0.11904713345642337</v>
      </c>
      <c r="Z55" s="51">
        <f t="shared" si="22"/>
        <v>0.1301387659691445</v>
      </c>
      <c r="AA55" s="51">
        <f t="shared" si="22"/>
        <v>0.12538111838975294</v>
      </c>
      <c r="AB55" s="51">
        <f t="shared" si="22"/>
        <v>0.13567806878877092</v>
      </c>
      <c r="AC55" s="51">
        <f t="shared" si="22"/>
        <v>0.13118629802418943</v>
      </c>
      <c r="AD55" s="51">
        <f t="shared" si="22"/>
        <v>0.14340469608532569</v>
      </c>
      <c r="AE55" s="51">
        <f t="shared" si="22"/>
        <v>0.1381766351000355</v>
      </c>
      <c r="AF55" s="51">
        <f t="shared" si="22"/>
        <v>0.14705036034545693</v>
      </c>
      <c r="AG55" s="51">
        <f t="shared" si="22"/>
        <v>0.14211938839371241</v>
      </c>
      <c r="AH55" s="51">
        <f t="shared" si="22"/>
        <v>0.1525227676150134</v>
      </c>
      <c r="AI55" s="51">
        <f t="shared" si="22"/>
        <v>0.14711983324382266</v>
      </c>
      <c r="AJ55" s="51">
        <f t="shared" si="22"/>
        <v>0.15495653021920366</v>
      </c>
      <c r="AK55" s="51">
        <f t="shared" si="22"/>
        <v>0.14971330767353064</v>
      </c>
    </row>
    <row r="56" spans="1:37" x14ac:dyDescent="0.45">
      <c r="A56" s="12" t="s">
        <v>512</v>
      </c>
      <c r="B56" s="3" t="s">
        <v>513</v>
      </c>
      <c r="C56" s="12" t="s">
        <v>73</v>
      </c>
      <c r="I56" s="15">
        <f>I54/Rev_Build!I61</f>
        <v>-8.6956521739130432E-2</v>
      </c>
      <c r="J56" s="15">
        <f>J54/Rev_Build!J61</f>
        <v>-7.4235807860262015E-2</v>
      </c>
      <c r="K56" s="15">
        <f>K54/Rev_Build!K61</f>
        <v>5.6179775280898875E-2</v>
      </c>
      <c r="L56" s="15">
        <f>L54/Rev_Build!L61</f>
        <v>0.125</v>
      </c>
      <c r="M56" s="15">
        <f>M54/Rev_Build!M61</f>
        <v>0.10320284697508897</v>
      </c>
      <c r="N56" s="15">
        <f>N54/Rev_Build!N61</f>
        <v>0.18811881188118812</v>
      </c>
      <c r="O56" s="15">
        <f>O54/Rev_Build!O61</f>
        <v>0.26744186046511625</v>
      </c>
      <c r="P56" s="15">
        <f>P54/Rev_Build!P61</f>
        <v>0.29894179894179895</v>
      </c>
      <c r="Q56" s="15">
        <f>Q54/Rev_Build!Q61</f>
        <v>0.28316326530612246</v>
      </c>
      <c r="R56" s="15">
        <f>R54/Rev_Build!R61</f>
        <v>0.32048192771084338</v>
      </c>
      <c r="S56" s="15">
        <f>S54/Rev_Build!S61</f>
        <v>0.34698275862068967</v>
      </c>
      <c r="T56" s="15">
        <f>T54/Rev_Build!T61</f>
        <v>0.34851485148514849</v>
      </c>
      <c r="U56" s="15">
        <f>U54/Rev_Build!U61</f>
        <v>0.32405566600397612</v>
      </c>
      <c r="V56" s="15">
        <f>V54/Rev_Build!V61</f>
        <v>0.33837429111531192</v>
      </c>
      <c r="W56" s="15">
        <f>W54/Rev_Build!W61</f>
        <v>0.37142857142857144</v>
      </c>
      <c r="X56" s="15">
        <f>X54/Rev_Build!X61</f>
        <v>0.38414727559821815</v>
      </c>
      <c r="Y56" s="15">
        <f>Y54/Rev_Build!Y61</f>
        <v>0.37636850299507713</v>
      </c>
      <c r="Z56" s="15">
        <f>Z54/Rev_Build!Z61</f>
        <v>0.39300019264145747</v>
      </c>
      <c r="AA56" s="15">
        <f>AA54/Rev_Build!AA61</f>
        <v>0.39574695908551327</v>
      </c>
      <c r="AB56" s="15">
        <f>AB54/Rev_Build!AB61</f>
        <v>0.41622880388587558</v>
      </c>
      <c r="AC56" s="15">
        <f>AC54/Rev_Build!AC61</f>
        <v>0.40692967841634514</v>
      </c>
      <c r="AD56" s="15">
        <f>AD54/Rev_Build!AD61</f>
        <v>0.42743055921525475</v>
      </c>
      <c r="AE56" s="15">
        <f>AE54/Rev_Build!AE61</f>
        <v>0.43014259077196382</v>
      </c>
      <c r="AF56" s="15">
        <f>AF54/Rev_Build!AF61</f>
        <v>0.44528657794814908</v>
      </c>
      <c r="AG56" s="15">
        <f>AG54/Rev_Build!AG61</f>
        <v>0.43479786503669637</v>
      </c>
      <c r="AH56" s="15">
        <f>AH54/Rev_Build!AH61</f>
        <v>0.45045844387893175</v>
      </c>
      <c r="AI56" s="15">
        <f>AI54/Rev_Build!AI61</f>
        <v>0.45349442211546342</v>
      </c>
      <c r="AJ56" s="15">
        <f>AJ54/Rev_Build!AJ61</f>
        <v>0.46493593676787898</v>
      </c>
      <c r="AK56" s="15">
        <f>AK54/Rev_Build!AK61</f>
        <v>0.45358644273040727</v>
      </c>
    </row>
    <row r="57" spans="1:37" x14ac:dyDescent="0.45">
      <c r="A57" s="12" t="s">
        <v>514</v>
      </c>
      <c r="B57" s="3" t="s">
        <v>515</v>
      </c>
      <c r="C57" s="12" t="s">
        <v>70</v>
      </c>
      <c r="I57" s="13">
        <f>Rev_Build!I61+Rev_Build!I53-I43</f>
        <v>-20</v>
      </c>
      <c r="J57" s="13">
        <f>Rev_Build!J61+Rev_Build!J53-J43</f>
        <v>-17</v>
      </c>
      <c r="K57" s="13">
        <f>Rev_Build!K61+Rev_Build!K53-K43</f>
        <v>14</v>
      </c>
      <c r="L57" s="13">
        <f>Rev_Build!L61+Rev_Build!L53-L43</f>
        <v>35</v>
      </c>
      <c r="M57" s="13">
        <f>Rev_Build!M61+Rev_Build!M53-M43</f>
        <v>26</v>
      </c>
      <c r="N57" s="13">
        <f>Rev_Build!N61+Rev_Build!N53-N43</f>
        <v>57</v>
      </c>
      <c r="O57" s="13">
        <f>Rev_Build!O61+Rev_Build!O53-O43</f>
        <v>93</v>
      </c>
      <c r="P57" s="13">
        <f>Rev_Build!P61+Rev_Build!P53-P43</f>
        <v>112</v>
      </c>
      <c r="Q57" s="13">
        <f>Rev_Build!Q61+Rev_Build!Q53-Q43</f>
        <v>112</v>
      </c>
      <c r="R57" s="13">
        <f>Rev_Build!R61+Rev_Build!R53-R43</f>
        <v>133</v>
      </c>
      <c r="S57" s="13">
        <f>Rev_Build!S61+Rev_Build!S53-S43</f>
        <v>161</v>
      </c>
      <c r="T57" s="13">
        <f>Rev_Build!T61+Rev_Build!T53-T43</f>
        <v>175</v>
      </c>
      <c r="U57" s="13">
        <f>Rev_Build!U61+Rev_Build!U53-U43</f>
        <v>164</v>
      </c>
      <c r="V57" s="13">
        <f>Rev_Build!V61+Rev_Build!V53-V43</f>
        <v>178</v>
      </c>
      <c r="W57" s="13">
        <f>Rev_Build!W61+Rev_Build!W53-W43</f>
        <v>220</v>
      </c>
      <c r="X57" s="13">
        <f>Rev_Build!X61+Rev_Build!X53-X43</f>
        <v>244.23172876838197</v>
      </c>
      <c r="Y57" s="13">
        <f>Rev_Build!Y61+Rev_Build!Y53-Y43</f>
        <v>235.2925414852939</v>
      </c>
      <c r="Z57" s="13">
        <f>Rev_Build!Z61+Rev_Build!Z53-Z43</f>
        <v>254.38477515364366</v>
      </c>
      <c r="AA57" s="13">
        <f>Rev_Build!AA61+Rev_Build!AA53-AA43</f>
        <v>285.60730054298631</v>
      </c>
      <c r="AB57" s="13">
        <f>Rev_Build!AB61+Rev_Build!AB53-AB43</f>
        <v>319.78759310208926</v>
      </c>
      <c r="AC57" s="13">
        <f>Rev_Build!AC61+Rev_Build!AC53-AC43</f>
        <v>306.08853537748161</v>
      </c>
      <c r="AD57" s="13">
        <f>Rev_Build!AD61+Rev_Build!AD53-AD43</f>
        <v>329.8481828906057</v>
      </c>
      <c r="AE57" s="13">
        <f>Rev_Build!AE61+Rev_Build!AE53-AE43</f>
        <v>367.92656350695432</v>
      </c>
      <c r="AF57" s="13">
        <f>Rev_Build!AF61+Rev_Build!AF53-AF43</f>
        <v>403.07861934267555</v>
      </c>
      <c r="AG57" s="13">
        <f>Rev_Build!AG61+Rev_Build!AG53-AG43</f>
        <v>383.72658436452184</v>
      </c>
      <c r="AH57" s="13">
        <f>Rev_Build!AH61+Rev_Build!AH53-AH43</f>
        <v>404.15362042688616</v>
      </c>
      <c r="AI57" s="13">
        <f>Rev_Build!AI61+Rev_Build!AI53-AI43</f>
        <v>449.02318681362118</v>
      </c>
      <c r="AJ57" s="13">
        <f>Rev_Build!AJ61+Rev_Build!AJ53-AJ43</f>
        <v>484.96597319656337</v>
      </c>
      <c r="AK57" s="13">
        <f>Rev_Build!AK61+Rev_Build!AK53-AK43</f>
        <v>459.78512477731334</v>
      </c>
    </row>
    <row r="58" spans="1:37" x14ac:dyDescent="0.45">
      <c r="A58" s="12" t="s">
        <v>516</v>
      </c>
      <c r="B58" s="3" t="s">
        <v>517</v>
      </c>
      <c r="C58" s="12" t="s">
        <v>70</v>
      </c>
      <c r="I58" s="52">
        <f t="shared" ref="I58:AK58" si="23">ROUND(I54-I57,6)</f>
        <v>2</v>
      </c>
      <c r="J58" s="52">
        <f t="shared" si="23"/>
        <v>0</v>
      </c>
      <c r="K58" s="52">
        <f t="shared" si="23"/>
        <v>1</v>
      </c>
      <c r="L58" s="52">
        <f t="shared" si="23"/>
        <v>0</v>
      </c>
      <c r="M58" s="52">
        <f t="shared" si="23"/>
        <v>3</v>
      </c>
      <c r="N58" s="52">
        <f t="shared" si="23"/>
        <v>0</v>
      </c>
      <c r="O58" s="52">
        <f t="shared" si="23"/>
        <v>-1</v>
      </c>
      <c r="P58" s="52">
        <f t="shared" si="23"/>
        <v>1</v>
      </c>
      <c r="Q58" s="52">
        <f t="shared" si="23"/>
        <v>-1</v>
      </c>
      <c r="R58" s="52">
        <f t="shared" si="23"/>
        <v>0</v>
      </c>
      <c r="S58" s="52">
        <f t="shared" si="23"/>
        <v>0</v>
      </c>
      <c r="T58" s="52">
        <f t="shared" si="23"/>
        <v>1</v>
      </c>
      <c r="U58" s="52">
        <f t="shared" si="23"/>
        <v>-1</v>
      </c>
      <c r="V58" s="52">
        <f t="shared" si="23"/>
        <v>1</v>
      </c>
      <c r="W58" s="52">
        <f t="shared" si="23"/>
        <v>1</v>
      </c>
      <c r="X58" s="52">
        <f t="shared" si="23"/>
        <v>0</v>
      </c>
      <c r="Y58" s="52">
        <f t="shared" si="23"/>
        <v>0</v>
      </c>
      <c r="Z58" s="52">
        <f t="shared" si="23"/>
        <v>0</v>
      </c>
      <c r="AA58" s="52">
        <f t="shared" si="23"/>
        <v>0</v>
      </c>
      <c r="AB58" s="52">
        <f t="shared" si="23"/>
        <v>0</v>
      </c>
      <c r="AC58" s="52">
        <f t="shared" si="23"/>
        <v>0</v>
      </c>
      <c r="AD58" s="52">
        <f t="shared" si="23"/>
        <v>0</v>
      </c>
      <c r="AE58" s="52">
        <f t="shared" si="23"/>
        <v>0</v>
      </c>
      <c r="AF58" s="52">
        <f t="shared" si="23"/>
        <v>0</v>
      </c>
      <c r="AG58" s="52">
        <f t="shared" si="23"/>
        <v>0</v>
      </c>
      <c r="AH58" s="52">
        <f t="shared" si="23"/>
        <v>0</v>
      </c>
      <c r="AI58" s="52">
        <f t="shared" si="23"/>
        <v>0</v>
      </c>
      <c r="AJ58" s="52">
        <f t="shared" si="23"/>
        <v>0</v>
      </c>
      <c r="AK58" s="52">
        <f t="shared" si="23"/>
        <v>0</v>
      </c>
    </row>
  </sheetData>
  <pageMargins left="0.75" right="0.75" top="1" bottom="1" header="0.5" footer="0.5"/>
  <pageSetup fitToHeight="0"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K36"/>
  <sheetViews>
    <sheetView showGridLines="0" zoomScale="90" workbookViewId="0">
      <pane xSplit="4" ySplit="8" topLeftCell="E9" activePane="bottomRight" state="frozen"/>
      <selection pane="topRight"/>
      <selection pane="bottomLeft"/>
      <selection pane="bottomRight"/>
    </sheetView>
  </sheetViews>
  <sheetFormatPr defaultRowHeight="14.25" x14ac:dyDescent="0.45"/>
  <cols>
    <col min="1" max="1" width="13" customWidth="1"/>
    <col min="2" max="2" width="50" customWidth="1"/>
    <col min="3" max="3" width="11" customWidth="1"/>
    <col min="4" max="4" width="3" customWidth="1"/>
    <col min="5" max="37" width="10" customWidth="1"/>
  </cols>
  <sheetData>
    <row r="1" spans="1:37" ht="18" x14ac:dyDescent="0.55000000000000004">
      <c r="A1" s="1" t="s">
        <v>518</v>
      </c>
    </row>
    <row r="2" spans="1:37" x14ac:dyDescent="0.45">
      <c r="A2" s="2" t="s">
        <v>519</v>
      </c>
    </row>
    <row r="4" spans="1:37" x14ac:dyDescent="0.45">
      <c r="A4" s="12" t="s">
        <v>279</v>
      </c>
      <c r="B4" s="4" t="s">
        <v>92</v>
      </c>
      <c r="C4" s="12"/>
      <c r="E4" s="10" t="str">
        <f>Drivers!E$4</f>
        <v>Q4'21</v>
      </c>
      <c r="F4" s="10" t="str">
        <f>Drivers!F$4</f>
        <v>Q1'22</v>
      </c>
      <c r="G4" s="10" t="str">
        <f>Drivers!G$4</f>
        <v>Q2'22</v>
      </c>
      <c r="H4" s="10" t="str">
        <f>Drivers!H$4</f>
        <v>Q3'22</v>
      </c>
      <c r="I4" s="10" t="str">
        <f>Drivers!I$4</f>
        <v>Q4'22</v>
      </c>
      <c r="J4" s="10" t="str">
        <f>Drivers!J$4</f>
        <v>Q1'23</v>
      </c>
      <c r="K4" s="10" t="str">
        <f>Drivers!K$4</f>
        <v>Q2'23</v>
      </c>
      <c r="L4" s="10" t="str">
        <f>Drivers!L$4</f>
        <v>Q3'23</v>
      </c>
      <c r="M4" s="10" t="str">
        <f>Drivers!M$4</f>
        <v>Q4'23</v>
      </c>
      <c r="N4" s="10" t="str">
        <f>Drivers!N$4</f>
        <v>Q1'24</v>
      </c>
      <c r="O4" s="10" t="str">
        <f>Drivers!O$4</f>
        <v>Q2'24</v>
      </c>
      <c r="P4" s="10" t="str">
        <f>Drivers!P$4</f>
        <v>Q3'24</v>
      </c>
      <c r="Q4" s="10" t="str">
        <f>Drivers!Q$4</f>
        <v>Q4'24</v>
      </c>
      <c r="R4" s="10" t="str">
        <f>Drivers!R$4</f>
        <v>Q1'25</v>
      </c>
      <c r="S4" s="10" t="str">
        <f>Drivers!S$4</f>
        <v>Q2'25</v>
      </c>
      <c r="T4" s="10" t="str">
        <f>Drivers!T$4</f>
        <v>Q3'25</v>
      </c>
      <c r="U4" s="10" t="str">
        <f>Drivers!U$4</f>
        <v>Q4'25</v>
      </c>
      <c r="V4" s="10" t="str">
        <f>Drivers!V$4</f>
        <v>Q1'26</v>
      </c>
      <c r="W4" s="10" t="str">
        <f>Drivers!W$4</f>
        <v>Q2'26</v>
      </c>
      <c r="X4" s="11" t="str">
        <f>Drivers!X$4</f>
        <v>Q3'26</v>
      </c>
      <c r="Y4" s="11" t="str">
        <f>Drivers!Y$4</f>
        <v>Q4'26</v>
      </c>
      <c r="Z4" s="11" t="str">
        <f>Drivers!Z$4</f>
        <v>Q1'27</v>
      </c>
      <c r="AA4" s="11" t="str">
        <f>Drivers!AA$4</f>
        <v>Q2'27</v>
      </c>
      <c r="AB4" s="11" t="str">
        <f>Drivers!AB$4</f>
        <v>Q3'27</v>
      </c>
      <c r="AC4" s="11" t="str">
        <f>Drivers!AC$4</f>
        <v>Q4'27</v>
      </c>
      <c r="AD4" s="11" t="str">
        <f>Drivers!AD$4</f>
        <v>Q1'28</v>
      </c>
      <c r="AE4" s="11" t="str">
        <f>Drivers!AE$4</f>
        <v>Q2'28</v>
      </c>
      <c r="AF4" s="11" t="str">
        <f>Drivers!AF$4</f>
        <v>Q3'28</v>
      </c>
      <c r="AG4" s="11" t="str">
        <f>Drivers!AG$4</f>
        <v>Q4'28</v>
      </c>
      <c r="AH4" s="11" t="str">
        <f>Drivers!AH$4</f>
        <v>Q1'29</v>
      </c>
      <c r="AI4" s="11" t="str">
        <f>Drivers!AI$4</f>
        <v>Q2'29</v>
      </c>
      <c r="AJ4" s="11" t="str">
        <f>Drivers!AJ$4</f>
        <v>Q3'29</v>
      </c>
      <c r="AK4" s="11" t="str">
        <f>Drivers!AK$4</f>
        <v>Q4'29</v>
      </c>
    </row>
    <row r="5" spans="1:37" x14ac:dyDescent="0.45">
      <c r="A5" s="12" t="s">
        <v>280</v>
      </c>
      <c r="B5" s="3" t="s">
        <v>281</v>
      </c>
      <c r="C5" s="12"/>
      <c r="E5" s="45" t="str">
        <f>Drivers!E$5</f>
        <v>A</v>
      </c>
      <c r="F5" s="45" t="str">
        <f>Drivers!F$5</f>
        <v>A</v>
      </c>
      <c r="G5" s="45" t="str">
        <f>Drivers!G$5</f>
        <v>A</v>
      </c>
      <c r="H5" s="45" t="str">
        <f>Drivers!H$5</f>
        <v>A</v>
      </c>
      <c r="I5" s="45" t="str">
        <f>Drivers!I$5</f>
        <v>A</v>
      </c>
      <c r="J5" s="45" t="str">
        <f>Drivers!J$5</f>
        <v>A</v>
      </c>
      <c r="K5" s="45" t="str">
        <f>Drivers!K$5</f>
        <v>A</v>
      </c>
      <c r="L5" s="45" t="str">
        <f>Drivers!L$5</f>
        <v>A</v>
      </c>
      <c r="M5" s="45" t="str">
        <f>Drivers!M$5</f>
        <v>A</v>
      </c>
      <c r="N5" s="45" t="str">
        <f>Drivers!N$5</f>
        <v>A</v>
      </c>
      <c r="O5" s="45" t="str">
        <f>Drivers!O$5</f>
        <v>A</v>
      </c>
      <c r="P5" s="45" t="str">
        <f>Drivers!P$5</f>
        <v>A</v>
      </c>
      <c r="Q5" s="45" t="str">
        <f>Drivers!Q$5</f>
        <v>A</v>
      </c>
      <c r="R5" s="45" t="str">
        <f>Drivers!R$5</f>
        <v>A</v>
      </c>
      <c r="S5" s="45" t="str">
        <f>Drivers!S$5</f>
        <v>A</v>
      </c>
      <c r="T5" s="45" t="str">
        <f>Drivers!T$5</f>
        <v>A</v>
      </c>
      <c r="U5" s="45" t="str">
        <f>Drivers!U$5</f>
        <v>A</v>
      </c>
      <c r="V5" s="45" t="str">
        <f>Drivers!V$5</f>
        <v>A</v>
      </c>
      <c r="W5" s="45" t="str">
        <f>Drivers!W$5</f>
        <v>A</v>
      </c>
      <c r="X5" s="46" t="str">
        <f>Drivers!X$5</f>
        <v>F</v>
      </c>
      <c r="Y5" s="46" t="str">
        <f>Drivers!Y$5</f>
        <v>F</v>
      </c>
      <c r="Z5" s="46" t="str">
        <f>Drivers!Z$5</f>
        <v>F</v>
      </c>
      <c r="AA5" s="46" t="str">
        <f>Drivers!AA$5</f>
        <v>F</v>
      </c>
      <c r="AB5" s="46" t="str">
        <f>Drivers!AB$5</f>
        <v>F</v>
      </c>
      <c r="AC5" s="46" t="str">
        <f>Drivers!AC$5</f>
        <v>F</v>
      </c>
      <c r="AD5" s="46" t="str">
        <f>Drivers!AD$5</f>
        <v>F</v>
      </c>
      <c r="AE5" s="46" t="str">
        <f>Drivers!AE$5</f>
        <v>F</v>
      </c>
      <c r="AF5" s="46" t="str">
        <f>Drivers!AF$5</f>
        <v>F</v>
      </c>
      <c r="AG5" s="46" t="str">
        <f>Drivers!AG$5</f>
        <v>F</v>
      </c>
      <c r="AH5" s="46" t="str">
        <f>Drivers!AH$5</f>
        <v>F</v>
      </c>
      <c r="AI5" s="46" t="str">
        <f>Drivers!AI$5</f>
        <v>F</v>
      </c>
      <c r="AJ5" s="46" t="str">
        <f>Drivers!AJ$5</f>
        <v>F</v>
      </c>
      <c r="AK5" s="46" t="str">
        <f>Drivers!AK$5</f>
        <v>F</v>
      </c>
    </row>
    <row r="6" spans="1:37" x14ac:dyDescent="0.45">
      <c r="A6" s="12" t="s">
        <v>282</v>
      </c>
      <c r="B6" s="3" t="s">
        <v>97</v>
      </c>
      <c r="C6" s="12"/>
      <c r="E6" s="20">
        <f>Drivers!E$6</f>
        <v>2021</v>
      </c>
      <c r="F6" s="20">
        <f>Drivers!F$6</f>
        <v>2022</v>
      </c>
      <c r="G6" s="20">
        <f>Drivers!G$6</f>
        <v>2022</v>
      </c>
      <c r="H6" s="20">
        <f>Drivers!H$6</f>
        <v>2022</v>
      </c>
      <c r="I6" s="20">
        <f>Drivers!I$6</f>
        <v>2022</v>
      </c>
      <c r="J6" s="20">
        <f>Drivers!J$6</f>
        <v>2023</v>
      </c>
      <c r="K6" s="20">
        <f>Drivers!K$6</f>
        <v>2023</v>
      </c>
      <c r="L6" s="20">
        <f>Drivers!L$6</f>
        <v>2023</v>
      </c>
      <c r="M6" s="20">
        <f>Drivers!M$6</f>
        <v>2023</v>
      </c>
      <c r="N6" s="20">
        <f>Drivers!N$6</f>
        <v>2024</v>
      </c>
      <c r="O6" s="20">
        <f>Drivers!O$6</f>
        <v>2024</v>
      </c>
      <c r="P6" s="20">
        <f>Drivers!P$6</f>
        <v>2024</v>
      </c>
      <c r="Q6" s="20">
        <f>Drivers!Q$6</f>
        <v>2024</v>
      </c>
      <c r="R6" s="20">
        <f>Drivers!R$6</f>
        <v>2025</v>
      </c>
      <c r="S6" s="20">
        <f>Drivers!S$6</f>
        <v>2025</v>
      </c>
      <c r="T6" s="20">
        <f>Drivers!T$6</f>
        <v>2025</v>
      </c>
      <c r="U6" s="20">
        <f>Drivers!U$6</f>
        <v>2025</v>
      </c>
      <c r="V6" s="20">
        <f>Drivers!V$6</f>
        <v>2026</v>
      </c>
      <c r="W6" s="20">
        <f>Drivers!W$6</f>
        <v>2026</v>
      </c>
      <c r="X6" s="20">
        <f>Drivers!X$6</f>
        <v>2026</v>
      </c>
      <c r="Y6" s="20">
        <f>Drivers!Y$6</f>
        <v>2026</v>
      </c>
      <c r="Z6" s="20">
        <f>Drivers!Z$6</f>
        <v>2027</v>
      </c>
      <c r="AA6" s="20">
        <f>Drivers!AA$6</f>
        <v>2027</v>
      </c>
      <c r="AB6" s="20">
        <f>Drivers!AB$6</f>
        <v>2027</v>
      </c>
      <c r="AC6" s="20">
        <f>Drivers!AC$6</f>
        <v>2027</v>
      </c>
      <c r="AD6" s="20">
        <f>Drivers!AD$6</f>
        <v>2028</v>
      </c>
      <c r="AE6" s="20">
        <f>Drivers!AE$6</f>
        <v>2028</v>
      </c>
      <c r="AF6" s="20">
        <f>Drivers!AF$6</f>
        <v>2028</v>
      </c>
      <c r="AG6" s="20">
        <f>Drivers!AG$6</f>
        <v>2028</v>
      </c>
      <c r="AH6" s="20">
        <f>Drivers!AH$6</f>
        <v>2029</v>
      </c>
      <c r="AI6" s="20">
        <f>Drivers!AI$6</f>
        <v>2029</v>
      </c>
      <c r="AJ6" s="20">
        <f>Drivers!AJ$6</f>
        <v>2029</v>
      </c>
      <c r="AK6" s="20">
        <f>Drivers!AK$6</f>
        <v>2029</v>
      </c>
    </row>
    <row r="7" spans="1:37" x14ac:dyDescent="0.45">
      <c r="A7" s="12" t="s">
        <v>283</v>
      </c>
      <c r="B7" s="3" t="s">
        <v>284</v>
      </c>
      <c r="C7" s="12"/>
      <c r="E7" s="20">
        <f>Drivers!E$7</f>
        <v>4</v>
      </c>
      <c r="F7" s="20">
        <f>Drivers!F$7</f>
        <v>1</v>
      </c>
      <c r="G7" s="20">
        <f>Drivers!G$7</f>
        <v>2</v>
      </c>
      <c r="H7" s="20">
        <f>Drivers!H$7</f>
        <v>3</v>
      </c>
      <c r="I7" s="20">
        <f>Drivers!I$7</f>
        <v>4</v>
      </c>
      <c r="J7" s="20">
        <f>Drivers!J$7</f>
        <v>1</v>
      </c>
      <c r="K7" s="20">
        <f>Drivers!K$7</f>
        <v>2</v>
      </c>
      <c r="L7" s="20">
        <f>Drivers!L$7</f>
        <v>3</v>
      </c>
      <c r="M7" s="20">
        <f>Drivers!M$7</f>
        <v>4</v>
      </c>
      <c r="N7" s="20">
        <f>Drivers!N$7</f>
        <v>1</v>
      </c>
      <c r="O7" s="20">
        <f>Drivers!O$7</f>
        <v>2</v>
      </c>
      <c r="P7" s="20">
        <f>Drivers!P$7</f>
        <v>3</v>
      </c>
      <c r="Q7" s="20">
        <f>Drivers!Q$7</f>
        <v>4</v>
      </c>
      <c r="R7" s="20">
        <f>Drivers!R$7</f>
        <v>1</v>
      </c>
      <c r="S7" s="20">
        <f>Drivers!S$7</f>
        <v>2</v>
      </c>
      <c r="T7" s="20">
        <f>Drivers!T$7</f>
        <v>3</v>
      </c>
      <c r="U7" s="20">
        <f>Drivers!U$7</f>
        <v>4</v>
      </c>
      <c r="V7" s="20">
        <f>Drivers!V$7</f>
        <v>1</v>
      </c>
      <c r="W7" s="20">
        <f>Drivers!W$7</f>
        <v>2</v>
      </c>
      <c r="X7" s="20">
        <f>Drivers!X$7</f>
        <v>3</v>
      </c>
      <c r="Y7" s="20">
        <f>Drivers!Y$7</f>
        <v>4</v>
      </c>
      <c r="Z7" s="20">
        <f>Drivers!Z$7</f>
        <v>1</v>
      </c>
      <c r="AA7" s="20">
        <f>Drivers!AA$7</f>
        <v>2</v>
      </c>
      <c r="AB7" s="20">
        <f>Drivers!AB$7</f>
        <v>3</v>
      </c>
      <c r="AC7" s="20">
        <f>Drivers!AC$7</f>
        <v>4</v>
      </c>
      <c r="AD7" s="20">
        <f>Drivers!AD$7</f>
        <v>1</v>
      </c>
      <c r="AE7" s="20">
        <f>Drivers!AE$7</f>
        <v>2</v>
      </c>
      <c r="AF7" s="20">
        <f>Drivers!AF$7</f>
        <v>3</v>
      </c>
      <c r="AG7" s="20">
        <f>Drivers!AG$7</f>
        <v>4</v>
      </c>
      <c r="AH7" s="20">
        <f>Drivers!AH$7</f>
        <v>1</v>
      </c>
      <c r="AI7" s="20">
        <f>Drivers!AI$7</f>
        <v>2</v>
      </c>
      <c r="AJ7" s="20">
        <f>Drivers!AJ$7</f>
        <v>3</v>
      </c>
      <c r="AK7" s="20">
        <f>Drivers!AK$7</f>
        <v>4</v>
      </c>
    </row>
    <row r="8" spans="1:37" x14ac:dyDescent="0.45">
      <c r="A8" s="12" t="s">
        <v>285</v>
      </c>
      <c r="B8" s="3" t="s">
        <v>286</v>
      </c>
      <c r="C8" s="12"/>
      <c r="E8" s="47">
        <f>Drivers!E$8</f>
        <v>44561</v>
      </c>
      <c r="F8" s="47">
        <f>Drivers!F$8</f>
        <v>44651</v>
      </c>
      <c r="G8" s="47">
        <f>Drivers!G$8</f>
        <v>44742</v>
      </c>
      <c r="H8" s="47">
        <f>Drivers!H$8</f>
        <v>44834</v>
      </c>
      <c r="I8" s="47">
        <f>Drivers!I$8</f>
        <v>44926</v>
      </c>
      <c r="J8" s="47">
        <f>Drivers!J$8</f>
        <v>45016</v>
      </c>
      <c r="K8" s="47">
        <f>Drivers!K$8</f>
        <v>45107</v>
      </c>
      <c r="L8" s="47">
        <f>Drivers!L$8</f>
        <v>45199</v>
      </c>
      <c r="M8" s="47">
        <f>Drivers!M$8</f>
        <v>45291</v>
      </c>
      <c r="N8" s="47">
        <f>Drivers!N$8</f>
        <v>45382</v>
      </c>
      <c r="O8" s="47">
        <f>Drivers!O$8</f>
        <v>45473</v>
      </c>
      <c r="P8" s="47">
        <f>Drivers!P$8</f>
        <v>45565</v>
      </c>
      <c r="Q8" s="47">
        <f>Drivers!Q$8</f>
        <v>45657</v>
      </c>
      <c r="R8" s="47">
        <f>Drivers!R$8</f>
        <v>45747</v>
      </c>
      <c r="S8" s="47">
        <f>Drivers!S$8</f>
        <v>45838</v>
      </c>
      <c r="T8" s="47">
        <f>Drivers!T$8</f>
        <v>45930</v>
      </c>
      <c r="U8" s="47">
        <f>Drivers!U$8</f>
        <v>46022</v>
      </c>
      <c r="V8" s="47">
        <f>Drivers!V$8</f>
        <v>46112</v>
      </c>
      <c r="W8" s="47">
        <f>Drivers!W$8</f>
        <v>46203</v>
      </c>
      <c r="X8" s="47">
        <f>Drivers!X$8</f>
        <v>46295</v>
      </c>
      <c r="Y8" s="47">
        <f>Drivers!Y$8</f>
        <v>46387</v>
      </c>
      <c r="Z8" s="47">
        <f>Drivers!Z$8</f>
        <v>46477</v>
      </c>
      <c r="AA8" s="47">
        <f>Drivers!AA$8</f>
        <v>46568</v>
      </c>
      <c r="AB8" s="47">
        <f>Drivers!AB$8</f>
        <v>46660</v>
      </c>
      <c r="AC8" s="47">
        <f>Drivers!AC$8</f>
        <v>46752</v>
      </c>
      <c r="AD8" s="47">
        <f>Drivers!AD$8</f>
        <v>46843</v>
      </c>
      <c r="AE8" s="47">
        <f>Drivers!AE$8</f>
        <v>46934</v>
      </c>
      <c r="AF8" s="47">
        <f>Drivers!AF$8</f>
        <v>47026</v>
      </c>
      <c r="AG8" s="47">
        <f>Drivers!AG$8</f>
        <v>47118</v>
      </c>
      <c r="AH8" s="47">
        <f>Drivers!AH$8</f>
        <v>47208</v>
      </c>
      <c r="AI8" s="47">
        <f>Drivers!AI$8</f>
        <v>47299</v>
      </c>
      <c r="AJ8" s="47">
        <f>Drivers!AJ$8</f>
        <v>47391</v>
      </c>
      <c r="AK8" s="47">
        <f>Drivers!AK$8</f>
        <v>47483</v>
      </c>
    </row>
    <row r="9" spans="1:37" x14ac:dyDescent="0.45">
      <c r="A9" s="21"/>
      <c r="B9" s="22" t="s">
        <v>520</v>
      </c>
      <c r="C9" s="21"/>
      <c r="D9" s="21"/>
      <c r="E9" s="21"/>
      <c r="F9" s="21"/>
      <c r="G9" s="21"/>
      <c r="H9" s="21"/>
      <c r="I9" s="21"/>
      <c r="J9" s="21"/>
      <c r="K9" s="21"/>
      <c r="L9" s="21"/>
      <c r="M9" s="21"/>
      <c r="N9" s="21"/>
      <c r="O9" s="21"/>
      <c r="P9" s="21"/>
      <c r="Q9" s="21"/>
      <c r="R9" s="21"/>
      <c r="S9" s="21"/>
      <c r="T9" s="21"/>
      <c r="U9" s="21"/>
      <c r="V9" s="21"/>
      <c r="W9" s="21"/>
      <c r="X9" s="21"/>
      <c r="Y9" s="21"/>
      <c r="Z9" s="21"/>
      <c r="AA9" s="21"/>
      <c r="AB9" s="21"/>
      <c r="AC9" s="21"/>
      <c r="AD9" s="21"/>
      <c r="AE9" s="21"/>
      <c r="AF9" s="21"/>
      <c r="AG9" s="21"/>
      <c r="AH9" s="21"/>
      <c r="AI9" s="21"/>
      <c r="AJ9" s="21"/>
      <c r="AK9" s="21"/>
    </row>
    <row r="10" spans="1:37" x14ac:dyDescent="0.45">
      <c r="A10" s="12" t="s">
        <v>521</v>
      </c>
      <c r="B10" s="57" t="s">
        <v>522</v>
      </c>
      <c r="C10" s="12" t="s">
        <v>70</v>
      </c>
      <c r="E10" s="13">
        <f>Hist_Q!E49</f>
        <v>809</v>
      </c>
      <c r="F10" s="13">
        <f>Hist_Q!F49</f>
        <v>757</v>
      </c>
      <c r="G10" s="13">
        <f>Hist_Q!G49</f>
        <v>697</v>
      </c>
      <c r="H10" s="13">
        <f>Hist_Q!H49</f>
        <v>644</v>
      </c>
      <c r="I10" s="13">
        <f>Hist_Q!I49</f>
        <v>547</v>
      </c>
      <c r="J10" s="13">
        <f>Hist_Q!J49</f>
        <v>451</v>
      </c>
      <c r="K10" s="13">
        <f>Hist_Q!K49</f>
        <v>488</v>
      </c>
      <c r="L10" s="13">
        <f>Hist_Q!L49</f>
        <v>514</v>
      </c>
      <c r="M10" s="13">
        <f>Hist_Q!M49</f>
        <v>605</v>
      </c>
      <c r="N10" s="13">
        <f>Hist_Q!N49</f>
        <v>578</v>
      </c>
      <c r="O10" s="13">
        <f>Hist_Q!O49</f>
        <v>691</v>
      </c>
      <c r="P10" s="13">
        <f>Hist_Q!P49</f>
        <v>761</v>
      </c>
      <c r="Q10" s="13">
        <f>Hist_Q!Q49</f>
        <v>903</v>
      </c>
      <c r="R10" s="13">
        <f>Hist_Q!R49</f>
        <v>1005</v>
      </c>
      <c r="S10" s="13">
        <f>Hist_Q!S49</f>
        <v>1194</v>
      </c>
      <c r="T10" s="13">
        <f>Hist_Q!T49</f>
        <v>1357</v>
      </c>
      <c r="U10" s="13">
        <f>Hist_Q!U49</f>
        <v>1353</v>
      </c>
      <c r="V10" s="13">
        <f>Hist_Q!V49</f>
        <v>1098</v>
      </c>
      <c r="W10" s="13">
        <f>Hist_Q!W49</f>
        <v>1015</v>
      </c>
      <c r="X10" s="13">
        <f>CF!X27-X14-X19</f>
        <v>1130.5596539097946</v>
      </c>
      <c r="Y10" s="13">
        <f>CF!Y27-Y14-Y19</f>
        <v>1197.4433802981507</v>
      </c>
      <c r="Z10" s="13">
        <f>CF!Z27-Z14-Z19</f>
        <v>1315.5391031707072</v>
      </c>
      <c r="AA10" s="13">
        <f>CF!AA27-AA14-AA19</f>
        <v>1473.7916195772757</v>
      </c>
      <c r="AB10" s="13">
        <f>CF!AB27-AB14-AB19</f>
        <v>1636.420692040801</v>
      </c>
      <c r="AC10" s="13">
        <f>CF!AC27-AC14-AC19</f>
        <v>1768.6822140555805</v>
      </c>
      <c r="AD10" s="13">
        <f>CF!AD27-AD14-AD19</f>
        <v>1932.2149859637134</v>
      </c>
      <c r="AE10" s="13">
        <f>CF!AE27-AE14-AE19</f>
        <v>2176.2472346700997</v>
      </c>
      <c r="AF10" s="13">
        <f>CF!AF27-AF14-AF19</f>
        <v>2405.3146284628201</v>
      </c>
      <c r="AG10" s="13">
        <f>CF!AG27-AG14-AG19</f>
        <v>2604.9975369702815</v>
      </c>
      <c r="AH10" s="13">
        <f>CF!AH27-AH14-AH19</f>
        <v>2800.1901830115994</v>
      </c>
      <c r="AI10" s="13">
        <f>CF!AI27-AI14-AI19</f>
        <v>3125.8091473749064</v>
      </c>
      <c r="AJ10" s="13">
        <f>CF!AJ27-AJ14-AJ19</f>
        <v>3422.4643794508065</v>
      </c>
      <c r="AK10" s="13">
        <f>CF!AK27-AK14-AK19</f>
        <v>3685.8396095346206</v>
      </c>
    </row>
    <row r="11" spans="1:37" x14ac:dyDescent="0.45">
      <c r="A11" s="12" t="s">
        <v>523</v>
      </c>
      <c r="B11" s="57" t="s">
        <v>524</v>
      </c>
      <c r="C11" s="12" t="s">
        <v>70</v>
      </c>
      <c r="E11" s="13">
        <f>Hist_Q!E50</f>
        <v>457</v>
      </c>
      <c r="F11" s="13">
        <f>Hist_Q!F50</f>
        <v>453</v>
      </c>
      <c r="G11" s="13">
        <f>Hist_Q!G50</f>
        <v>482</v>
      </c>
      <c r="H11" s="13">
        <f>Hist_Q!H50</f>
        <v>409</v>
      </c>
      <c r="I11" s="13">
        <f>Hist_Q!I50</f>
        <v>474</v>
      </c>
      <c r="J11" s="13">
        <f>Hist_Q!J50</f>
        <v>499</v>
      </c>
      <c r="K11" s="13">
        <f>Hist_Q!K50</f>
        <v>502</v>
      </c>
      <c r="L11" s="13">
        <f>Hist_Q!L50</f>
        <v>516</v>
      </c>
      <c r="M11" s="13">
        <f>Hist_Q!M50</f>
        <v>519</v>
      </c>
      <c r="N11" s="13">
        <f>Hist_Q!N50</f>
        <v>537</v>
      </c>
      <c r="O11" s="13">
        <f>Hist_Q!O50</f>
        <v>528</v>
      </c>
      <c r="P11" s="13">
        <f>Hist_Q!P50</f>
        <v>511</v>
      </c>
      <c r="Q11" s="13">
        <f>Hist_Q!Q50</f>
        <v>514</v>
      </c>
      <c r="R11" s="13">
        <f>Hist_Q!R50</f>
        <v>484</v>
      </c>
      <c r="S11" s="13">
        <f>Hist_Q!S50</f>
        <v>508</v>
      </c>
      <c r="T11" s="13">
        <f>Hist_Q!T50</f>
        <v>500</v>
      </c>
      <c r="U11" s="13">
        <f>Hist_Q!U50</f>
        <v>638</v>
      </c>
      <c r="V11" s="13">
        <f>Hist_Q!V50</f>
        <v>672</v>
      </c>
      <c r="W11" s="13">
        <f>Hist_Q!W50</f>
        <v>698</v>
      </c>
      <c r="X11" s="13">
        <f>Schedules!X47</f>
        <v>698</v>
      </c>
      <c r="Y11" s="13">
        <f>Schedules!Y47</f>
        <v>698</v>
      </c>
      <c r="Z11" s="13">
        <f>Schedules!Z47</f>
        <v>698</v>
      </c>
      <c r="AA11" s="13">
        <f>Schedules!AA47</f>
        <v>698</v>
      </c>
      <c r="AB11" s="13">
        <f>Schedules!AB47</f>
        <v>698</v>
      </c>
      <c r="AC11" s="13">
        <f>Schedules!AC47</f>
        <v>698</v>
      </c>
      <c r="AD11" s="13">
        <f>Schedules!AD47</f>
        <v>698</v>
      </c>
      <c r="AE11" s="13">
        <f>Schedules!AE47</f>
        <v>698</v>
      </c>
      <c r="AF11" s="13">
        <f>Schedules!AF47</f>
        <v>698</v>
      </c>
      <c r="AG11" s="13">
        <f>Schedules!AG47</f>
        <v>698</v>
      </c>
      <c r="AH11" s="13">
        <f>Schedules!AH47</f>
        <v>698</v>
      </c>
      <c r="AI11" s="13">
        <f>Schedules!AI47</f>
        <v>698</v>
      </c>
      <c r="AJ11" s="13">
        <f>Schedules!AJ47</f>
        <v>698</v>
      </c>
      <c r="AK11" s="13">
        <f>Schedules!AK47</f>
        <v>698</v>
      </c>
    </row>
    <row r="12" spans="1:37" x14ac:dyDescent="0.45">
      <c r="A12" s="12" t="s">
        <v>525</v>
      </c>
      <c r="B12" s="57" t="s">
        <v>526</v>
      </c>
      <c r="C12" s="12" t="s">
        <v>70</v>
      </c>
      <c r="E12" s="13">
        <f>Hist_Q!E51</f>
        <v>55</v>
      </c>
      <c r="F12" s="13">
        <f>Hist_Q!F51</f>
        <v>56</v>
      </c>
      <c r="G12" s="13">
        <f>Hist_Q!G51</f>
        <v>68</v>
      </c>
      <c r="H12" s="13">
        <f>Hist_Q!H51</f>
        <v>78</v>
      </c>
      <c r="I12" s="13">
        <f>Hist_Q!I51</f>
        <v>77</v>
      </c>
      <c r="J12" s="13">
        <f>Hist_Q!J51</f>
        <v>97</v>
      </c>
      <c r="K12" s="13">
        <f>Hist_Q!K51</f>
        <v>115</v>
      </c>
      <c r="L12" s="13">
        <f>Hist_Q!L51</f>
        <v>95</v>
      </c>
      <c r="M12" s="13">
        <f>Hist_Q!M51</f>
        <v>69</v>
      </c>
      <c r="N12" s="13">
        <f>Hist_Q!N51</f>
        <v>86</v>
      </c>
      <c r="O12" s="13">
        <f>Hist_Q!O51</f>
        <v>101</v>
      </c>
      <c r="P12" s="13">
        <f>Hist_Q!P51</f>
        <v>105</v>
      </c>
      <c r="Q12" s="13">
        <f>Hist_Q!Q51</f>
        <v>115</v>
      </c>
      <c r="R12" s="13">
        <f>Hist_Q!R51</f>
        <v>118</v>
      </c>
      <c r="S12" s="13">
        <f>Hist_Q!S51</f>
        <v>121</v>
      </c>
      <c r="T12" s="13">
        <f>Hist_Q!T51</f>
        <v>121</v>
      </c>
      <c r="U12" s="13">
        <f>Hist_Q!U51</f>
        <v>127</v>
      </c>
      <c r="V12" s="13">
        <f>Hist_Q!V51</f>
        <v>138</v>
      </c>
      <c r="W12" s="13">
        <f>Hist_Q!W51</f>
        <v>142</v>
      </c>
      <c r="X12" s="13">
        <f>Schedules!X16</f>
        <v>151.10228781569691</v>
      </c>
      <c r="Y12" s="13">
        <f>Schedules!Y16</f>
        <v>150.3832377487212</v>
      </c>
      <c r="Z12" s="13">
        <f>Schedules!Z16</f>
        <v>152.03373387328065</v>
      </c>
      <c r="AA12" s="13">
        <f>Schedules!AA16</f>
        <v>175.22408981204316</v>
      </c>
      <c r="AB12" s="13">
        <f>Schedules!AB16</f>
        <v>179.33380766519298</v>
      </c>
      <c r="AC12" s="13">
        <f>Schedules!AC16</f>
        <v>177.52879251745426</v>
      </c>
      <c r="AD12" s="13">
        <f>Schedules!AD16</f>
        <v>176.93240066792734</v>
      </c>
      <c r="AE12" s="13">
        <f>Schedules!AE16</f>
        <v>204.82510177063591</v>
      </c>
      <c r="AF12" s="13">
        <f>Schedules!AF16</f>
        <v>208.56137525076321</v>
      </c>
      <c r="AG12" s="13">
        <f>Schedules!AG16</f>
        <v>205.43705029109555</v>
      </c>
      <c r="AH12" s="13">
        <f>Schedules!AH16</f>
        <v>206.09493893390686</v>
      </c>
      <c r="AI12" s="13">
        <f>Schedules!AI16</f>
        <v>234.77626624457588</v>
      </c>
      <c r="AJ12" s="13">
        <f>Schedules!AJ16</f>
        <v>238.12862139421398</v>
      </c>
      <c r="AK12" s="13">
        <f>Schedules!AK16</f>
        <v>233.67094977662398</v>
      </c>
    </row>
    <row r="13" spans="1:37" x14ac:dyDescent="0.45">
      <c r="A13" s="12" t="s">
        <v>527</v>
      </c>
      <c r="B13" s="57" t="s">
        <v>528</v>
      </c>
      <c r="C13" s="12" t="s">
        <v>70</v>
      </c>
      <c r="E13" s="13">
        <f>Hist_Q!E52</f>
        <v>42</v>
      </c>
      <c r="F13" s="13">
        <f>Hist_Q!F52</f>
        <v>44</v>
      </c>
      <c r="G13" s="13">
        <f>Hist_Q!G52</f>
        <v>62</v>
      </c>
      <c r="H13" s="13">
        <f>Hist_Q!H52</f>
        <v>95</v>
      </c>
      <c r="I13" s="13">
        <f>Hist_Q!I52</f>
        <v>110</v>
      </c>
      <c r="J13" s="13">
        <f>Hist_Q!J52</f>
        <v>112</v>
      </c>
      <c r="K13" s="13">
        <f>Hist_Q!K52</f>
        <v>107</v>
      </c>
      <c r="L13" s="13">
        <f>Hist_Q!L52</f>
        <v>98</v>
      </c>
      <c r="M13" s="13">
        <f>Hist_Q!M52</f>
        <v>118</v>
      </c>
      <c r="N13" s="13">
        <f>Hist_Q!N52</f>
        <v>120</v>
      </c>
      <c r="O13" s="13">
        <f>Hist_Q!O52</f>
        <v>110</v>
      </c>
      <c r="P13" s="13">
        <f>Hist_Q!P52</f>
        <v>106</v>
      </c>
      <c r="Q13" s="13">
        <f>Hist_Q!Q52</f>
        <v>118</v>
      </c>
      <c r="R13" s="13">
        <f>Hist_Q!R52</f>
        <v>111</v>
      </c>
      <c r="S13" s="13">
        <f>Hist_Q!S52</f>
        <v>103</v>
      </c>
      <c r="T13" s="13">
        <f>Hist_Q!T52</f>
        <v>104</v>
      </c>
      <c r="U13" s="13">
        <f>Hist_Q!U52</f>
        <v>114</v>
      </c>
      <c r="V13" s="13">
        <f>Hist_Q!V52</f>
        <v>136</v>
      </c>
      <c r="W13" s="13">
        <f>Hist_Q!W52</f>
        <v>217</v>
      </c>
      <c r="X13" s="13">
        <f>Schedules!X18</f>
        <v>197.39865728900256</v>
      </c>
      <c r="Y13" s="13">
        <f>Schedules!Y18</f>
        <v>206.79859335038364</v>
      </c>
      <c r="Z13" s="13">
        <f>Schedules!Z18</f>
        <v>138.32000000000002</v>
      </c>
      <c r="AA13" s="13">
        <f>Schedules!AA18</f>
        <v>182.4</v>
      </c>
      <c r="AB13" s="13">
        <f>Schedules!AB18</f>
        <v>157.86521739130436</v>
      </c>
      <c r="AC13" s="13">
        <f>Schedules!AC18</f>
        <v>165.38260869565218</v>
      </c>
      <c r="AD13" s="13">
        <f>Schedules!AD18</f>
        <v>114.01318681318681</v>
      </c>
      <c r="AE13" s="13">
        <f>Schedules!AE18</f>
        <v>152.01758241758242</v>
      </c>
      <c r="AF13" s="13">
        <f>Schedules!AF18</f>
        <v>131.56956521739133</v>
      </c>
      <c r="AG13" s="13">
        <f>Schedules!AG18</f>
        <v>137.83478260869563</v>
      </c>
      <c r="AH13" s="13">
        <f>Schedules!AH18</f>
        <v>113.52</v>
      </c>
      <c r="AI13" s="13">
        <f>Schedules!AI18</f>
        <v>149.6967032967033</v>
      </c>
      <c r="AJ13" s="13">
        <f>Schedules!AJ18</f>
        <v>129.56086956521739</v>
      </c>
      <c r="AK13" s="13">
        <f>Schedules!AK18</f>
        <v>135.73043478260868</v>
      </c>
    </row>
    <row r="14" spans="1:37" x14ac:dyDescent="0.45">
      <c r="A14" s="12" t="s">
        <v>529</v>
      </c>
      <c r="B14" s="57" t="s">
        <v>530</v>
      </c>
      <c r="C14" s="12" t="s">
        <v>70</v>
      </c>
      <c r="E14" s="13">
        <f>Hist_Q!E53</f>
        <v>34</v>
      </c>
      <c r="F14" s="13">
        <f>Hist_Q!F53</f>
        <v>62</v>
      </c>
      <c r="G14" s="13">
        <f>Hist_Q!G53</f>
        <v>72</v>
      </c>
      <c r="H14" s="13">
        <f>Hist_Q!H53</f>
        <v>61</v>
      </c>
      <c r="I14" s="13">
        <f>Hist_Q!I53</f>
        <v>60</v>
      </c>
      <c r="J14" s="13">
        <f>Hist_Q!J53</f>
        <v>99</v>
      </c>
      <c r="K14" s="13">
        <f>Hist_Q!K53</f>
        <v>91</v>
      </c>
      <c r="L14" s="13">
        <f>Hist_Q!L53</f>
        <v>87</v>
      </c>
      <c r="M14" s="13">
        <f>Hist_Q!M53</f>
        <v>87</v>
      </c>
      <c r="N14" s="13">
        <f>Hist_Q!N53</f>
        <v>136</v>
      </c>
      <c r="O14" s="13">
        <f>Hist_Q!O53</f>
        <v>115</v>
      </c>
      <c r="P14" s="13">
        <f>Hist_Q!P53</f>
        <v>127</v>
      </c>
      <c r="Q14" s="13">
        <f>Hist_Q!Q53</f>
        <v>123</v>
      </c>
      <c r="R14" s="13">
        <f>Hist_Q!R53</f>
        <v>187</v>
      </c>
      <c r="S14" s="13">
        <f>Hist_Q!S53</f>
        <v>168</v>
      </c>
      <c r="T14" s="13">
        <f>Hist_Q!T53</f>
        <v>172</v>
      </c>
      <c r="U14" s="13">
        <f>Hist_Q!U53</f>
        <v>159</v>
      </c>
      <c r="V14" s="13">
        <f>Hist_Q!V53</f>
        <v>241</v>
      </c>
      <c r="W14" s="13">
        <f>Hist_Q!W53</f>
        <v>216</v>
      </c>
      <c r="X14" s="50">
        <f t="shared" ref="X14:AK14" si="0">W14</f>
        <v>216</v>
      </c>
      <c r="Y14" s="50">
        <f t="shared" si="0"/>
        <v>216</v>
      </c>
      <c r="Z14" s="50">
        <f t="shared" si="0"/>
        <v>216</v>
      </c>
      <c r="AA14" s="50">
        <f t="shared" si="0"/>
        <v>216</v>
      </c>
      <c r="AB14" s="50">
        <f t="shared" si="0"/>
        <v>216</v>
      </c>
      <c r="AC14" s="50">
        <f t="shared" si="0"/>
        <v>216</v>
      </c>
      <c r="AD14" s="50">
        <f t="shared" si="0"/>
        <v>216</v>
      </c>
      <c r="AE14" s="50">
        <f t="shared" si="0"/>
        <v>216</v>
      </c>
      <c r="AF14" s="50">
        <f t="shared" si="0"/>
        <v>216</v>
      </c>
      <c r="AG14" s="50">
        <f t="shared" si="0"/>
        <v>216</v>
      </c>
      <c r="AH14" s="50">
        <f t="shared" si="0"/>
        <v>216</v>
      </c>
      <c r="AI14" s="50">
        <f t="shared" si="0"/>
        <v>216</v>
      </c>
      <c r="AJ14" s="50">
        <f t="shared" si="0"/>
        <v>216</v>
      </c>
      <c r="AK14" s="50">
        <f t="shared" si="0"/>
        <v>216</v>
      </c>
    </row>
    <row r="15" spans="1:37" x14ac:dyDescent="0.45">
      <c r="A15" s="12" t="s">
        <v>531</v>
      </c>
      <c r="B15" s="57" t="s">
        <v>532</v>
      </c>
      <c r="C15" s="12" t="s">
        <v>70</v>
      </c>
      <c r="E15" s="13">
        <f>Hist_Q!E68</f>
        <v>88</v>
      </c>
      <c r="F15" s="13">
        <f>Hist_Q!F68</f>
        <v>105</v>
      </c>
      <c r="G15" s="13">
        <f>Hist_Q!G68</f>
        <v>105</v>
      </c>
      <c r="H15" s="13">
        <f>Hist_Q!H68</f>
        <v>115</v>
      </c>
      <c r="I15" s="13">
        <f>Hist_Q!I68</f>
        <v>139</v>
      </c>
      <c r="J15" s="13">
        <f>Hist_Q!J68</f>
        <v>150</v>
      </c>
      <c r="K15" s="13">
        <f>Hist_Q!K68</f>
        <v>152</v>
      </c>
      <c r="L15" s="13">
        <f>Hist_Q!L68</f>
        <v>170</v>
      </c>
      <c r="M15" s="13">
        <f>Hist_Q!M68</f>
        <v>172</v>
      </c>
      <c r="N15" s="13">
        <f>Hist_Q!N68</f>
        <v>194</v>
      </c>
      <c r="O15" s="13">
        <f>Hist_Q!O68</f>
        <v>194</v>
      </c>
      <c r="P15" s="13">
        <f>Hist_Q!P68</f>
        <v>192</v>
      </c>
      <c r="Q15" s="13">
        <f>Hist_Q!Q68</f>
        <v>202</v>
      </c>
      <c r="R15" s="13">
        <f>Hist_Q!R68</f>
        <v>217</v>
      </c>
      <c r="S15" s="13">
        <f>Hist_Q!S68</f>
        <v>223</v>
      </c>
      <c r="T15" s="13">
        <f>Hist_Q!T68</f>
        <v>241</v>
      </c>
      <c r="U15" s="13">
        <f>Hist_Q!U68</f>
        <v>278</v>
      </c>
      <c r="V15" s="13">
        <f>Hist_Q!V68</f>
        <v>307</v>
      </c>
      <c r="W15" s="13">
        <f>Hist_Q!W68</f>
        <v>362</v>
      </c>
      <c r="X15" s="13">
        <f>Schedules!X20</f>
        <v>377.32399871691177</v>
      </c>
      <c r="Y15" s="13">
        <f>Schedules!Y20</f>
        <v>375.52842797823524</v>
      </c>
      <c r="Z15" s="13">
        <f>Schedules!Z20</f>
        <v>371.39669274758563</v>
      </c>
      <c r="AA15" s="13">
        <f>Schedules!AA20</f>
        <v>432.8035018357466</v>
      </c>
      <c r="AB15" s="13">
        <f>Schedules!AB20</f>
        <v>447.82213685536755</v>
      </c>
      <c r="AC15" s="13">
        <f>Schedules!AC20</f>
        <v>443.31475617215716</v>
      </c>
      <c r="AD15" s="13">
        <f>Schedules!AD20</f>
        <v>437.02302964978054</v>
      </c>
      <c r="AE15" s="13">
        <f>Schedules!AE20</f>
        <v>505.91800137347064</v>
      </c>
      <c r="AF15" s="13">
        <f>Schedules!AF20</f>
        <v>520.80754848333436</v>
      </c>
      <c r="AG15" s="13">
        <f>Schedules!AG20</f>
        <v>513.00566272690719</v>
      </c>
      <c r="AH15" s="13">
        <f>Schedules!AH20</f>
        <v>503.46049368140103</v>
      </c>
      <c r="AI15" s="13">
        <f>Schedules!AI20</f>
        <v>579.89737762410243</v>
      </c>
      <c r="AJ15" s="13">
        <f>Schedules!AJ20</f>
        <v>594.64118599583719</v>
      </c>
      <c r="AK15" s="13">
        <f>Schedules!AK20</f>
        <v>583.50974315648386</v>
      </c>
    </row>
    <row r="16" spans="1:37" x14ac:dyDescent="0.45">
      <c r="A16" s="12" t="s">
        <v>533</v>
      </c>
      <c r="B16" s="4" t="s">
        <v>534</v>
      </c>
      <c r="C16" s="12" t="s">
        <v>70</v>
      </c>
      <c r="E16" s="56">
        <f t="shared" ref="E16:AK16" si="1">SUM(E10:E15)</f>
        <v>1485</v>
      </c>
      <c r="F16" s="56">
        <f t="shared" si="1"/>
        <v>1477</v>
      </c>
      <c r="G16" s="56">
        <f t="shared" si="1"/>
        <v>1486</v>
      </c>
      <c r="H16" s="56">
        <f t="shared" si="1"/>
        <v>1402</v>
      </c>
      <c r="I16" s="56">
        <f t="shared" si="1"/>
        <v>1407</v>
      </c>
      <c r="J16" s="56">
        <f t="shared" si="1"/>
        <v>1408</v>
      </c>
      <c r="K16" s="56">
        <f t="shared" si="1"/>
        <v>1455</v>
      </c>
      <c r="L16" s="56">
        <f t="shared" si="1"/>
        <v>1480</v>
      </c>
      <c r="M16" s="56">
        <f t="shared" si="1"/>
        <v>1570</v>
      </c>
      <c r="N16" s="56">
        <f t="shared" si="1"/>
        <v>1651</v>
      </c>
      <c r="O16" s="56">
        <f t="shared" si="1"/>
        <v>1739</v>
      </c>
      <c r="P16" s="56">
        <f t="shared" si="1"/>
        <v>1802</v>
      </c>
      <c r="Q16" s="56">
        <f t="shared" si="1"/>
        <v>1975</v>
      </c>
      <c r="R16" s="56">
        <f t="shared" si="1"/>
        <v>2122</v>
      </c>
      <c r="S16" s="56">
        <f t="shared" si="1"/>
        <v>2317</v>
      </c>
      <c r="T16" s="56">
        <f t="shared" si="1"/>
        <v>2495</v>
      </c>
      <c r="U16" s="56">
        <f t="shared" si="1"/>
        <v>2669</v>
      </c>
      <c r="V16" s="56">
        <f t="shared" si="1"/>
        <v>2592</v>
      </c>
      <c r="W16" s="56">
        <f t="shared" si="1"/>
        <v>2650</v>
      </c>
      <c r="X16" s="56">
        <f t="shared" si="1"/>
        <v>2770.3845977314058</v>
      </c>
      <c r="Y16" s="56">
        <f t="shared" si="1"/>
        <v>2844.1536393754909</v>
      </c>
      <c r="Z16" s="56">
        <f t="shared" si="1"/>
        <v>2891.2895297915738</v>
      </c>
      <c r="AA16" s="56">
        <f t="shared" si="1"/>
        <v>3178.2192112250659</v>
      </c>
      <c r="AB16" s="56">
        <f t="shared" si="1"/>
        <v>3335.441853952666</v>
      </c>
      <c r="AC16" s="56">
        <f t="shared" si="1"/>
        <v>3468.9083714408443</v>
      </c>
      <c r="AD16" s="56">
        <f t="shared" si="1"/>
        <v>3574.1836030946079</v>
      </c>
      <c r="AE16" s="56">
        <f t="shared" si="1"/>
        <v>3953.0079202317893</v>
      </c>
      <c r="AF16" s="56">
        <f t="shared" si="1"/>
        <v>4180.2531174143096</v>
      </c>
      <c r="AG16" s="56">
        <f t="shared" si="1"/>
        <v>4375.2750325969801</v>
      </c>
      <c r="AH16" s="56">
        <f t="shared" si="1"/>
        <v>4537.2656156269068</v>
      </c>
      <c r="AI16" s="56">
        <f t="shared" si="1"/>
        <v>5004.179494540288</v>
      </c>
      <c r="AJ16" s="56">
        <f t="shared" si="1"/>
        <v>5298.7950564060748</v>
      </c>
      <c r="AK16" s="56">
        <f t="shared" si="1"/>
        <v>5552.7507372503369</v>
      </c>
    </row>
    <row r="17" spans="1:37" x14ac:dyDescent="0.45">
      <c r="A17" s="12" t="s">
        <v>535</v>
      </c>
      <c r="B17" s="57" t="s">
        <v>536</v>
      </c>
      <c r="C17" s="12" t="s">
        <v>70</v>
      </c>
      <c r="E17" s="13">
        <f>Hist_Q!E55</f>
        <v>41</v>
      </c>
      <c r="F17" s="13">
        <f>Hist_Q!F55</f>
        <v>42</v>
      </c>
      <c r="G17" s="13">
        <f>Hist_Q!G55</f>
        <v>45</v>
      </c>
      <c r="H17" s="13">
        <f>Hist_Q!H55</f>
        <v>54</v>
      </c>
      <c r="I17" s="13">
        <f>Hist_Q!I55</f>
        <v>61</v>
      </c>
      <c r="J17" s="13">
        <f>Hist_Q!J55</f>
        <v>70</v>
      </c>
      <c r="K17" s="13">
        <f>Hist_Q!K55</f>
        <v>61</v>
      </c>
      <c r="L17" s="13">
        <f>Hist_Q!L55</f>
        <v>69</v>
      </c>
      <c r="M17" s="13">
        <f>Hist_Q!M55</f>
        <v>75</v>
      </c>
      <c r="N17" s="13">
        <f>Hist_Q!N55</f>
        <v>82</v>
      </c>
      <c r="O17" s="13">
        <f>Hist_Q!O55</f>
        <v>90</v>
      </c>
      <c r="P17" s="13">
        <f>Hist_Q!P55</f>
        <v>95</v>
      </c>
      <c r="Q17" s="13">
        <f>Hist_Q!Q55</f>
        <v>98</v>
      </c>
      <c r="R17" s="13">
        <f>Hist_Q!R55</f>
        <v>93</v>
      </c>
      <c r="S17" s="13">
        <f>Hist_Q!S55</f>
        <v>96</v>
      </c>
      <c r="T17" s="13">
        <f>Hist_Q!T55</f>
        <v>100</v>
      </c>
      <c r="U17" s="13">
        <f>Hist_Q!U55</f>
        <v>132</v>
      </c>
      <c r="V17" s="13">
        <f>Hist_Q!V55</f>
        <v>114</v>
      </c>
      <c r="W17" s="13">
        <f>Hist_Q!W55</f>
        <v>149</v>
      </c>
      <c r="X17" s="13">
        <f>Schedules!X37</f>
        <v>151.72528415312499</v>
      </c>
      <c r="Y17" s="13">
        <f>Schedules!Y37</f>
        <v>154.1113381470781</v>
      </c>
      <c r="Z17" s="13">
        <f>Schedules!Z37</f>
        <v>156.08587622497134</v>
      </c>
      <c r="AA17" s="13">
        <f>Schedules!AA37</f>
        <v>160.61997990782984</v>
      </c>
      <c r="AB17" s="13">
        <f>Schedules!AB37</f>
        <v>165.39523004432613</v>
      </c>
      <c r="AC17" s="13">
        <f>Schedules!AC37</f>
        <v>169.51518543992216</v>
      </c>
      <c r="AD17" s="13">
        <f>Schedules!AD37</f>
        <v>172.96227309693552</v>
      </c>
      <c r="AE17" s="13">
        <f>Schedules!AE37</f>
        <v>179.1640308983819</v>
      </c>
      <c r="AF17" s="13">
        <f>Schedules!AF37</f>
        <v>185.44273302676373</v>
      </c>
      <c r="AG17" s="13">
        <f>Schedules!AG37</f>
        <v>190.77592672174072</v>
      </c>
      <c r="AH17" s="13">
        <f>Schedules!AH37</f>
        <v>195.17544629523803</v>
      </c>
      <c r="AI17" s="13">
        <f>Schedules!AI37</f>
        <v>202.57655631721605</v>
      </c>
      <c r="AJ17" s="13">
        <f>Schedules!AJ37</f>
        <v>209.93415231426272</v>
      </c>
      <c r="AK17" s="13">
        <f>Schedules!AK37</f>
        <v>216.09479109088204</v>
      </c>
    </row>
    <row r="18" spans="1:37" x14ac:dyDescent="0.45">
      <c r="A18" s="12" t="s">
        <v>537</v>
      </c>
      <c r="B18" s="57" t="s">
        <v>538</v>
      </c>
      <c r="C18" s="12" t="s">
        <v>70</v>
      </c>
      <c r="E18" s="13">
        <f>Hist_Q!E57+Hist_Q!E56</f>
        <v>90</v>
      </c>
      <c r="F18" s="13">
        <f>Hist_Q!F57+Hist_Q!F56</f>
        <v>89</v>
      </c>
      <c r="G18" s="13">
        <f>Hist_Q!G57+Hist_Q!G56</f>
        <v>87</v>
      </c>
      <c r="H18" s="13">
        <f>Hist_Q!H57+Hist_Q!H56</f>
        <v>138</v>
      </c>
      <c r="I18" s="13">
        <f>Hist_Q!I57+Hist_Q!I56</f>
        <v>136</v>
      </c>
      <c r="J18" s="13">
        <f>Hist_Q!J57+Hist_Q!J56</f>
        <v>144</v>
      </c>
      <c r="K18" s="13">
        <f>Hist_Q!K57+Hist_Q!K56</f>
        <v>143</v>
      </c>
      <c r="L18" s="13">
        <f>Hist_Q!L57+Hist_Q!L56</f>
        <v>141</v>
      </c>
      <c r="M18" s="13">
        <f>Hist_Q!M57+Hist_Q!M56</f>
        <v>139</v>
      </c>
      <c r="N18" s="13">
        <f>Hist_Q!N57+Hist_Q!N56</f>
        <v>138</v>
      </c>
      <c r="O18" s="13">
        <f>Hist_Q!O57+Hist_Q!O56</f>
        <v>136</v>
      </c>
      <c r="P18" s="13">
        <f>Hist_Q!P57+Hist_Q!P56</f>
        <v>135</v>
      </c>
      <c r="Q18" s="13">
        <f>Hist_Q!Q57+Hist_Q!Q56</f>
        <v>133</v>
      </c>
      <c r="R18" s="13">
        <f>Hist_Q!R57+Hist_Q!R56</f>
        <v>132</v>
      </c>
      <c r="S18" s="13">
        <f>Hist_Q!S57+Hist_Q!S56</f>
        <v>130</v>
      </c>
      <c r="T18" s="13">
        <f>Hist_Q!T57+Hist_Q!T56</f>
        <v>129</v>
      </c>
      <c r="U18" s="13">
        <f>Hist_Q!U57+Hist_Q!U56</f>
        <v>127</v>
      </c>
      <c r="V18" s="13">
        <f>Hist_Q!V57+Hist_Q!V56</f>
        <v>126</v>
      </c>
      <c r="W18" s="13">
        <f>Hist_Q!W57+Hist_Q!W56</f>
        <v>124</v>
      </c>
      <c r="X18" s="13">
        <f>Schedules!X42</f>
        <v>123</v>
      </c>
      <c r="Y18" s="13">
        <f>Schedules!Y42</f>
        <v>122</v>
      </c>
      <c r="Z18" s="13">
        <f>Schedules!Z42</f>
        <v>121</v>
      </c>
      <c r="AA18" s="13">
        <f>Schedules!AA42</f>
        <v>120</v>
      </c>
      <c r="AB18" s="13">
        <f>Schedules!AB42</f>
        <v>119</v>
      </c>
      <c r="AC18" s="13">
        <f>Schedules!AC42</f>
        <v>118</v>
      </c>
      <c r="AD18" s="13">
        <f>Schedules!AD42</f>
        <v>117</v>
      </c>
      <c r="AE18" s="13">
        <f>Schedules!AE42</f>
        <v>116</v>
      </c>
      <c r="AF18" s="13">
        <f>Schedules!AF42</f>
        <v>115</v>
      </c>
      <c r="AG18" s="13">
        <f>Schedules!AG42</f>
        <v>114</v>
      </c>
      <c r="AH18" s="13">
        <f>Schedules!AH42</f>
        <v>113</v>
      </c>
      <c r="AI18" s="13">
        <f>Schedules!AI42</f>
        <v>112</v>
      </c>
      <c r="AJ18" s="13">
        <f>Schedules!AJ42</f>
        <v>111</v>
      </c>
      <c r="AK18" s="13">
        <f>Schedules!AK42</f>
        <v>110</v>
      </c>
    </row>
    <row r="19" spans="1:37" x14ac:dyDescent="0.45">
      <c r="A19" s="12" t="s">
        <v>539</v>
      </c>
      <c r="B19" s="57" t="s">
        <v>540</v>
      </c>
      <c r="C19" s="12" t="s">
        <v>70</v>
      </c>
      <c r="E19" s="13">
        <f>Hist_Q!E58</f>
        <v>8</v>
      </c>
      <c r="F19" s="13">
        <f>Hist_Q!F58</f>
        <v>11</v>
      </c>
      <c r="G19" s="13">
        <f>Hist_Q!G58</f>
        <v>14</v>
      </c>
      <c r="H19" s="13">
        <f>Hist_Q!H58</f>
        <v>19</v>
      </c>
      <c r="I19" s="13">
        <f>Hist_Q!I58</f>
        <v>28</v>
      </c>
      <c r="J19" s="13">
        <f>Hist_Q!J58</f>
        <v>36</v>
      </c>
      <c r="K19" s="13">
        <f>Hist_Q!K58</f>
        <v>43</v>
      </c>
      <c r="L19" s="13">
        <f>Hist_Q!L58</f>
        <v>49</v>
      </c>
      <c r="M19" s="13">
        <f>Hist_Q!M58</f>
        <v>55</v>
      </c>
      <c r="N19" s="13">
        <f>Hist_Q!N58</f>
        <v>57</v>
      </c>
      <c r="O19" s="13">
        <f>Hist_Q!O58</f>
        <v>58</v>
      </c>
      <c r="P19" s="13">
        <f>Hist_Q!P58</f>
        <v>56</v>
      </c>
      <c r="Q19" s="13">
        <f>Hist_Q!Q58</f>
        <v>59</v>
      </c>
      <c r="R19" s="13">
        <f>Hist_Q!R58</f>
        <v>67</v>
      </c>
      <c r="S19" s="13">
        <f>Hist_Q!S58</f>
        <v>63</v>
      </c>
      <c r="T19" s="13">
        <f>Hist_Q!T58</f>
        <v>76</v>
      </c>
      <c r="U19" s="13">
        <f>Hist_Q!U58</f>
        <v>71</v>
      </c>
      <c r="V19" s="13">
        <f>Hist_Q!V58</f>
        <v>74</v>
      </c>
      <c r="W19" s="13">
        <f>Hist_Q!W58</f>
        <v>73</v>
      </c>
      <c r="X19" s="50">
        <f t="shared" ref="X19:AK19" si="2">W19</f>
        <v>73</v>
      </c>
      <c r="Y19" s="50">
        <f t="shared" si="2"/>
        <v>73</v>
      </c>
      <c r="Z19" s="50">
        <f t="shared" si="2"/>
        <v>73</v>
      </c>
      <c r="AA19" s="50">
        <f t="shared" si="2"/>
        <v>73</v>
      </c>
      <c r="AB19" s="50">
        <f t="shared" si="2"/>
        <v>73</v>
      </c>
      <c r="AC19" s="50">
        <f t="shared" si="2"/>
        <v>73</v>
      </c>
      <c r="AD19" s="50">
        <f t="shared" si="2"/>
        <v>73</v>
      </c>
      <c r="AE19" s="50">
        <f t="shared" si="2"/>
        <v>73</v>
      </c>
      <c r="AF19" s="50">
        <f t="shared" si="2"/>
        <v>73</v>
      </c>
      <c r="AG19" s="50">
        <f t="shared" si="2"/>
        <v>73</v>
      </c>
      <c r="AH19" s="50">
        <f t="shared" si="2"/>
        <v>73</v>
      </c>
      <c r="AI19" s="50">
        <f t="shared" si="2"/>
        <v>73</v>
      </c>
      <c r="AJ19" s="50">
        <f t="shared" si="2"/>
        <v>73</v>
      </c>
      <c r="AK19" s="50">
        <f t="shared" si="2"/>
        <v>73</v>
      </c>
    </row>
    <row r="20" spans="1:37" x14ac:dyDescent="0.45">
      <c r="A20" s="12" t="s">
        <v>541</v>
      </c>
      <c r="B20" s="57" t="s">
        <v>542</v>
      </c>
      <c r="C20" s="12" t="s">
        <v>70</v>
      </c>
      <c r="E20" s="13">
        <f>Hist_Q!E69</f>
        <v>111</v>
      </c>
      <c r="F20" s="13">
        <f>Hist_Q!F69</f>
        <v>115</v>
      </c>
      <c r="G20" s="13">
        <f>Hist_Q!G69</f>
        <v>118</v>
      </c>
      <c r="H20" s="13">
        <f>Hist_Q!H69</f>
        <v>128</v>
      </c>
      <c r="I20" s="13">
        <f>Hist_Q!I69</f>
        <v>129</v>
      </c>
      <c r="J20" s="13">
        <f>Hist_Q!J69</f>
        <v>137</v>
      </c>
      <c r="K20" s="13">
        <f>Hist_Q!K69</f>
        <v>93</v>
      </c>
      <c r="L20" s="13">
        <f>Hist_Q!L69</f>
        <v>95</v>
      </c>
      <c r="M20" s="13">
        <f>Hist_Q!M69</f>
        <v>119</v>
      </c>
      <c r="N20" s="13">
        <f>Hist_Q!N69</f>
        <v>124</v>
      </c>
      <c r="O20" s="13">
        <f>Hist_Q!O69</f>
        <v>132</v>
      </c>
      <c r="P20" s="13">
        <f>Hist_Q!P69</f>
        <v>139</v>
      </c>
      <c r="Q20" s="13">
        <f>Hist_Q!Q69</f>
        <v>143</v>
      </c>
      <c r="R20" s="13">
        <f>Hist_Q!R69</f>
        <v>150</v>
      </c>
      <c r="S20" s="13">
        <f>Hist_Q!S69</f>
        <v>161</v>
      </c>
      <c r="T20" s="13">
        <f>Hist_Q!T69</f>
        <v>171</v>
      </c>
      <c r="U20" s="13">
        <f>Hist_Q!U69</f>
        <v>146</v>
      </c>
      <c r="V20" s="13">
        <f>Hist_Q!V69</f>
        <v>188</v>
      </c>
      <c r="W20" s="13">
        <f>Hist_Q!W69</f>
        <v>185</v>
      </c>
      <c r="X20" s="13">
        <f>Schedules!X28</f>
        <v>188.66199935845589</v>
      </c>
      <c r="Y20" s="13">
        <f>Schedules!Y28</f>
        <v>187.76421398911762</v>
      </c>
      <c r="Z20" s="13">
        <f>Schedules!Z28</f>
        <v>185.69834637379282</v>
      </c>
      <c r="AA20" s="13">
        <f>Schedules!AA28</f>
        <v>216.4017509178733</v>
      </c>
      <c r="AB20" s="13">
        <f>Schedules!AB28</f>
        <v>223.91106842768377</v>
      </c>
      <c r="AC20" s="13">
        <f>Schedules!AC28</f>
        <v>221.65737808607858</v>
      </c>
      <c r="AD20" s="13">
        <f>Schedules!AD28</f>
        <v>218.51151482489027</v>
      </c>
      <c r="AE20" s="13">
        <f>Schedules!AE28</f>
        <v>252.95900068673532</v>
      </c>
      <c r="AF20" s="13">
        <f>Schedules!AF28</f>
        <v>260.40377424166718</v>
      </c>
      <c r="AG20" s="13">
        <f>Schedules!AG28</f>
        <v>256.50283136345359</v>
      </c>
      <c r="AH20" s="13">
        <f>Schedules!AH28</f>
        <v>251.73024684070052</v>
      </c>
      <c r="AI20" s="13">
        <f>Schedules!AI28</f>
        <v>289.94868881205122</v>
      </c>
      <c r="AJ20" s="13">
        <f>Schedules!AJ28</f>
        <v>297.3205929979186</v>
      </c>
      <c r="AK20" s="13">
        <f>Schedules!AK28</f>
        <v>291.75487157824193</v>
      </c>
    </row>
    <row r="21" spans="1:37" x14ac:dyDescent="0.45">
      <c r="A21" s="12" t="s">
        <v>543</v>
      </c>
      <c r="B21" s="4" t="s">
        <v>544</v>
      </c>
      <c r="C21" s="12" t="s">
        <v>70</v>
      </c>
      <c r="E21" s="56">
        <f t="shared" ref="E21:AK21" si="3">E16+SUM(E17:E20)</f>
        <v>1735</v>
      </c>
      <c r="F21" s="56">
        <f t="shared" si="3"/>
        <v>1734</v>
      </c>
      <c r="G21" s="56">
        <f t="shared" si="3"/>
        <v>1750</v>
      </c>
      <c r="H21" s="56">
        <f t="shared" si="3"/>
        <v>1741</v>
      </c>
      <c r="I21" s="56">
        <f t="shared" si="3"/>
        <v>1761</v>
      </c>
      <c r="J21" s="56">
        <f t="shared" si="3"/>
        <v>1795</v>
      </c>
      <c r="K21" s="56">
        <f t="shared" si="3"/>
        <v>1795</v>
      </c>
      <c r="L21" s="56">
        <f t="shared" si="3"/>
        <v>1834</v>
      </c>
      <c r="M21" s="56">
        <f t="shared" si="3"/>
        <v>1958</v>
      </c>
      <c r="N21" s="56">
        <f t="shared" si="3"/>
        <v>2052</v>
      </c>
      <c r="O21" s="56">
        <f t="shared" si="3"/>
        <v>2155</v>
      </c>
      <c r="P21" s="56">
        <f t="shared" si="3"/>
        <v>2227</v>
      </c>
      <c r="Q21" s="56">
        <f t="shared" si="3"/>
        <v>2408</v>
      </c>
      <c r="R21" s="56">
        <f t="shared" si="3"/>
        <v>2564</v>
      </c>
      <c r="S21" s="56">
        <f t="shared" si="3"/>
        <v>2767</v>
      </c>
      <c r="T21" s="56">
        <f t="shared" si="3"/>
        <v>2971</v>
      </c>
      <c r="U21" s="56">
        <f t="shared" si="3"/>
        <v>3145</v>
      </c>
      <c r="V21" s="56">
        <f t="shared" si="3"/>
        <v>3094</v>
      </c>
      <c r="W21" s="56">
        <f t="shared" si="3"/>
        <v>3181</v>
      </c>
      <c r="X21" s="56">
        <f t="shared" si="3"/>
        <v>3306.7718812429866</v>
      </c>
      <c r="Y21" s="56">
        <f t="shared" si="3"/>
        <v>3381.0291915116868</v>
      </c>
      <c r="Z21" s="56">
        <f t="shared" si="3"/>
        <v>3427.0737523903381</v>
      </c>
      <c r="AA21" s="56">
        <f t="shared" si="3"/>
        <v>3748.2409420507693</v>
      </c>
      <c r="AB21" s="56">
        <f t="shared" si="3"/>
        <v>3916.7481524246759</v>
      </c>
      <c r="AC21" s="56">
        <f t="shared" si="3"/>
        <v>4051.0809349668452</v>
      </c>
      <c r="AD21" s="56">
        <f t="shared" si="3"/>
        <v>4155.6573910164334</v>
      </c>
      <c r="AE21" s="56">
        <f t="shared" si="3"/>
        <v>4574.1309518169064</v>
      </c>
      <c r="AF21" s="56">
        <f t="shared" si="3"/>
        <v>4814.0996246827408</v>
      </c>
      <c r="AG21" s="56">
        <f t="shared" si="3"/>
        <v>5009.5537906821746</v>
      </c>
      <c r="AH21" s="56">
        <f t="shared" si="3"/>
        <v>5170.171308762845</v>
      </c>
      <c r="AI21" s="56">
        <f t="shared" si="3"/>
        <v>5681.7047396695552</v>
      </c>
      <c r="AJ21" s="56">
        <f t="shared" si="3"/>
        <v>5990.0498017182563</v>
      </c>
      <c r="AK21" s="56">
        <f t="shared" si="3"/>
        <v>6243.6003999194609</v>
      </c>
    </row>
    <row r="22" spans="1:37" x14ac:dyDescent="0.45">
      <c r="A22" s="21"/>
      <c r="B22" s="22" t="s">
        <v>545</v>
      </c>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row>
    <row r="23" spans="1:37" x14ac:dyDescent="0.45">
      <c r="A23" s="12" t="s">
        <v>546</v>
      </c>
      <c r="B23" s="57" t="s">
        <v>547</v>
      </c>
      <c r="C23" s="12" t="s">
        <v>70</v>
      </c>
      <c r="E23" s="13">
        <f>Hist_Q!E61</f>
        <v>40</v>
      </c>
      <c r="F23" s="13">
        <f>Hist_Q!F61</f>
        <v>29</v>
      </c>
      <c r="G23" s="13">
        <f>Hist_Q!G61</f>
        <v>37</v>
      </c>
      <c r="H23" s="13">
        <f>Hist_Q!H61</f>
        <v>28</v>
      </c>
      <c r="I23" s="13">
        <f>Hist_Q!I61</f>
        <v>30</v>
      </c>
      <c r="J23" s="13">
        <f>Hist_Q!J61</f>
        <v>36</v>
      </c>
      <c r="K23" s="13">
        <f>Hist_Q!K61</f>
        <v>42</v>
      </c>
      <c r="L23" s="13">
        <f>Hist_Q!L61</f>
        <v>27</v>
      </c>
      <c r="M23" s="13">
        <f>Hist_Q!M61</f>
        <v>32</v>
      </c>
      <c r="N23" s="13">
        <f>Hist_Q!N61</f>
        <v>49</v>
      </c>
      <c r="O23" s="13">
        <f>Hist_Q!O61</f>
        <v>33</v>
      </c>
      <c r="P23" s="13">
        <f>Hist_Q!P61</f>
        <v>30</v>
      </c>
      <c r="Q23" s="13">
        <f>Hist_Q!Q61</f>
        <v>37</v>
      </c>
      <c r="R23" s="13">
        <f>Hist_Q!R61</f>
        <v>48</v>
      </c>
      <c r="S23" s="13">
        <f>Hist_Q!S61</f>
        <v>49</v>
      </c>
      <c r="T23" s="13">
        <f>Hist_Q!T61</f>
        <v>50</v>
      </c>
      <c r="U23" s="13">
        <f>Hist_Q!U61</f>
        <v>47</v>
      </c>
      <c r="V23" s="13">
        <f>Hist_Q!V61</f>
        <v>70</v>
      </c>
      <c r="W23" s="13">
        <f>Hist_Q!W61</f>
        <v>40</v>
      </c>
      <c r="X23" s="13">
        <f>Schedules!X22</f>
        <v>58.948669683703656</v>
      </c>
      <c r="Y23" s="13">
        <f>Schedules!Y22</f>
        <v>59.126496696067768</v>
      </c>
      <c r="Z23" s="13">
        <f>Schedules!Z22</f>
        <v>58.099054940688703</v>
      </c>
      <c r="AA23" s="13">
        <f>Schedules!AA22</f>
        <v>68.651445384018686</v>
      </c>
      <c r="AB23" s="13">
        <f>Schedules!AB22</f>
        <v>68.848606941451408</v>
      </c>
      <c r="AC23" s="13">
        <f>Schedules!AC22</f>
        <v>68.666219394595998</v>
      </c>
      <c r="AD23" s="13">
        <f>Schedules!AD22</f>
        <v>66.658729803614918</v>
      </c>
      <c r="AE23" s="13">
        <f>Schedules!AE22</f>
        <v>79.098745277589387</v>
      </c>
      <c r="AF23" s="13">
        <f>Schedules!AF22</f>
        <v>79.025157794371395</v>
      </c>
      <c r="AG23" s="13">
        <f>Schedules!AG22</f>
        <v>78.396049842071804</v>
      </c>
      <c r="AH23" s="13">
        <f>Schedules!AH22</f>
        <v>76.833760361633679</v>
      </c>
      <c r="AI23" s="13">
        <f>Schedules!AI22</f>
        <v>89.689645181664446</v>
      </c>
      <c r="AJ23" s="13">
        <f>Schedules!AJ22</f>
        <v>89.346639635641083</v>
      </c>
      <c r="AK23" s="13">
        <f>Schedules!AK22</f>
        <v>88.270612139141988</v>
      </c>
    </row>
    <row r="24" spans="1:37" x14ac:dyDescent="0.45">
      <c r="A24" s="12" t="s">
        <v>548</v>
      </c>
      <c r="B24" s="57" t="s">
        <v>549</v>
      </c>
      <c r="C24" s="12" t="s">
        <v>70</v>
      </c>
      <c r="E24" s="13">
        <f>Hist_Q!E62</f>
        <v>44</v>
      </c>
      <c r="F24" s="13">
        <f>Hist_Q!F62</f>
        <v>42</v>
      </c>
      <c r="G24" s="13">
        <f>Hist_Q!G62</f>
        <v>43</v>
      </c>
      <c r="H24" s="13">
        <f>Hist_Q!H62</f>
        <v>40</v>
      </c>
      <c r="I24" s="13">
        <f>Hist_Q!I62</f>
        <v>39</v>
      </c>
      <c r="J24" s="13">
        <f>Hist_Q!J62</f>
        <v>43</v>
      </c>
      <c r="K24" s="13">
        <f>Hist_Q!K62</f>
        <v>41</v>
      </c>
      <c r="L24" s="13">
        <f>Hist_Q!L62</f>
        <v>38</v>
      </c>
      <c r="M24" s="13">
        <f>Hist_Q!M62</f>
        <v>39</v>
      </c>
      <c r="N24" s="13">
        <f>Hist_Q!N62</f>
        <v>50</v>
      </c>
      <c r="O24" s="13">
        <f>Hist_Q!O62</f>
        <v>62</v>
      </c>
      <c r="P24" s="13">
        <f>Hist_Q!P62</f>
        <v>62</v>
      </c>
      <c r="Q24" s="13">
        <f>Hist_Q!Q62</f>
        <v>59</v>
      </c>
      <c r="R24" s="13">
        <f>Hist_Q!R62</f>
        <v>58</v>
      </c>
      <c r="S24" s="13">
        <f>Hist_Q!S62</f>
        <v>60</v>
      </c>
      <c r="T24" s="13">
        <f>Hist_Q!T62</f>
        <v>63</v>
      </c>
      <c r="U24" s="13">
        <f>Hist_Q!U62</f>
        <v>68</v>
      </c>
      <c r="V24" s="13">
        <f>Hist_Q!V62</f>
        <v>73</v>
      </c>
      <c r="W24" s="13">
        <f>Hist_Q!W62</f>
        <v>77</v>
      </c>
      <c r="X24" s="13">
        <f>Schedules!X24</f>
        <v>81.828894044117661</v>
      </c>
      <c r="Y24" s="13">
        <f>Schedules!Y24</f>
        <v>85.259017411764702</v>
      </c>
      <c r="Z24" s="13">
        <f>Schedules!Z24</f>
        <v>88.32169411764707</v>
      </c>
      <c r="AA24" s="13">
        <f>Schedules!AA24</f>
        <v>95.040847058823545</v>
      </c>
      <c r="AB24" s="13">
        <f>Schedules!AB24</f>
        <v>100.64412677647059</v>
      </c>
      <c r="AC24" s="13">
        <f>Schedules!AC24</f>
        <v>104.27705355294118</v>
      </c>
      <c r="AD24" s="13">
        <f>Schedules!AD24</f>
        <v>106.93033581176472</v>
      </c>
      <c r="AE24" s="13">
        <f>Schedules!AE24</f>
        <v>114.39306337254904</v>
      </c>
      <c r="AF24" s="13">
        <f>Schedules!AF24</f>
        <v>120.43567682364706</v>
      </c>
      <c r="AG24" s="13">
        <f>Schedules!AG24</f>
        <v>124.14241503529412</v>
      </c>
      <c r="AH24" s="13">
        <f>Schedules!AH24</f>
        <v>126.12114975811762</v>
      </c>
      <c r="AI24" s="13">
        <f>Schedules!AI24</f>
        <v>134.33141554039213</v>
      </c>
      <c r="AJ24" s="13">
        <f>Schedules!AJ24</f>
        <v>140.80582290665643</v>
      </c>
      <c r="AK24" s="13">
        <f>Schedules!AK24</f>
        <v>144.56882203259298</v>
      </c>
    </row>
    <row r="25" spans="1:37" x14ac:dyDescent="0.45">
      <c r="A25" s="12" t="s">
        <v>550</v>
      </c>
      <c r="B25" s="57" t="s">
        <v>551</v>
      </c>
      <c r="C25" s="12" t="s">
        <v>70</v>
      </c>
      <c r="E25" s="13">
        <f>Hist_Q!E70</f>
        <v>268</v>
      </c>
      <c r="F25" s="13">
        <f>Hist_Q!F70</f>
        <v>333</v>
      </c>
      <c r="G25" s="13">
        <f>Hist_Q!G70</f>
        <v>377</v>
      </c>
      <c r="H25" s="13">
        <f>Hist_Q!H70</f>
        <v>389</v>
      </c>
      <c r="I25" s="13">
        <f>Hist_Q!I70</f>
        <v>427</v>
      </c>
      <c r="J25" s="13">
        <f>Hist_Q!J70</f>
        <v>459</v>
      </c>
      <c r="K25" s="13">
        <f>Hist_Q!K70</f>
        <v>501</v>
      </c>
      <c r="L25" s="13">
        <f>Hist_Q!L70</f>
        <v>509</v>
      </c>
      <c r="M25" s="13">
        <f>Hist_Q!M70</f>
        <v>592</v>
      </c>
      <c r="N25" s="13">
        <f>Hist_Q!N70</f>
        <v>614</v>
      </c>
      <c r="O25" s="13">
        <f>Hist_Q!O70</f>
        <v>641</v>
      </c>
      <c r="P25" s="13">
        <f>Hist_Q!P70</f>
        <v>656</v>
      </c>
      <c r="Q25" s="13">
        <f>Hist_Q!Q70</f>
        <v>715</v>
      </c>
      <c r="R25" s="13">
        <f>Hist_Q!R70</f>
        <v>738</v>
      </c>
      <c r="S25" s="13">
        <f>Hist_Q!S70</f>
        <v>785</v>
      </c>
      <c r="T25" s="13">
        <f>Hist_Q!T70</f>
        <v>798</v>
      </c>
      <c r="U25" s="13">
        <f>Hist_Q!U70</f>
        <v>854</v>
      </c>
      <c r="V25" s="13">
        <f>Hist_Q!V70</f>
        <v>921</v>
      </c>
      <c r="W25" s="13">
        <f>Hist_Q!W70</f>
        <v>987</v>
      </c>
      <c r="X25" s="13">
        <f>Schedules!X26</f>
        <v>1013.2966062472428</v>
      </c>
      <c r="Y25" s="13">
        <f>Schedules!Y26</f>
        <v>1016.3533589966175</v>
      </c>
      <c r="Z25" s="13">
        <f>Schedules!Z26</f>
        <v>976.98147650263377</v>
      </c>
      <c r="AA25" s="13">
        <f>Schedules!AA26</f>
        <v>1167.2552332266966</v>
      </c>
      <c r="AB25" s="13">
        <f>Schedules!AB26</f>
        <v>1183.471317214633</v>
      </c>
      <c r="AC25" s="13">
        <f>Schedules!AC26</f>
        <v>1180.3361712776343</v>
      </c>
      <c r="AD25" s="13">
        <f>Schedules!AD26</f>
        <v>1133.3738243714629</v>
      </c>
      <c r="AE25" s="13">
        <f>Schedules!AE26</f>
        <v>1344.8868243118552</v>
      </c>
      <c r="AF25" s="13">
        <f>Schedules!AF26</f>
        <v>1358.4008702969313</v>
      </c>
      <c r="AG25" s="13">
        <f>Schedules!AG26</f>
        <v>1347.58683570635</v>
      </c>
      <c r="AH25" s="13">
        <f>Schedules!AH26</f>
        <v>1292.0203387127349</v>
      </c>
      <c r="AI25" s="13">
        <f>Schedules!AI26</f>
        <v>1524.9599934703526</v>
      </c>
      <c r="AJ25" s="13">
        <f>Schedules!AJ26</f>
        <v>1535.8217107894936</v>
      </c>
      <c r="AK25" s="13">
        <f>Schedules!AK26</f>
        <v>1517.3253644549354</v>
      </c>
    </row>
    <row r="26" spans="1:37" x14ac:dyDescent="0.45">
      <c r="A26" s="12" t="s">
        <v>552</v>
      </c>
      <c r="B26" s="4" t="s">
        <v>553</v>
      </c>
      <c r="C26" s="12" t="s">
        <v>70</v>
      </c>
      <c r="E26" s="56">
        <f t="shared" ref="E26:AK26" si="4">SUM(E23:E25)</f>
        <v>352</v>
      </c>
      <c r="F26" s="56">
        <f t="shared" si="4"/>
        <v>404</v>
      </c>
      <c r="G26" s="56">
        <f t="shared" si="4"/>
        <v>457</v>
      </c>
      <c r="H26" s="56">
        <f t="shared" si="4"/>
        <v>457</v>
      </c>
      <c r="I26" s="56">
        <f t="shared" si="4"/>
        <v>496</v>
      </c>
      <c r="J26" s="56">
        <f t="shared" si="4"/>
        <v>538</v>
      </c>
      <c r="K26" s="56">
        <f t="shared" si="4"/>
        <v>584</v>
      </c>
      <c r="L26" s="56">
        <f t="shared" si="4"/>
        <v>574</v>
      </c>
      <c r="M26" s="56">
        <f t="shared" si="4"/>
        <v>663</v>
      </c>
      <c r="N26" s="56">
        <f t="shared" si="4"/>
        <v>713</v>
      </c>
      <c r="O26" s="56">
        <f t="shared" si="4"/>
        <v>736</v>
      </c>
      <c r="P26" s="56">
        <f t="shared" si="4"/>
        <v>748</v>
      </c>
      <c r="Q26" s="56">
        <f t="shared" si="4"/>
        <v>811</v>
      </c>
      <c r="R26" s="56">
        <f t="shared" si="4"/>
        <v>844</v>
      </c>
      <c r="S26" s="56">
        <f t="shared" si="4"/>
        <v>894</v>
      </c>
      <c r="T26" s="56">
        <f t="shared" si="4"/>
        <v>911</v>
      </c>
      <c r="U26" s="56">
        <f t="shared" si="4"/>
        <v>969</v>
      </c>
      <c r="V26" s="56">
        <f t="shared" si="4"/>
        <v>1064</v>
      </c>
      <c r="W26" s="56">
        <f t="shared" si="4"/>
        <v>1104</v>
      </c>
      <c r="X26" s="56">
        <f t="shared" si="4"/>
        <v>1154.0741699750643</v>
      </c>
      <c r="Y26" s="56">
        <f t="shared" si="4"/>
        <v>1160.73887310445</v>
      </c>
      <c r="Z26" s="56">
        <f t="shared" si="4"/>
        <v>1123.4022255609696</v>
      </c>
      <c r="AA26" s="56">
        <f t="shared" si="4"/>
        <v>1330.9475256695389</v>
      </c>
      <c r="AB26" s="56">
        <f t="shared" si="4"/>
        <v>1352.964050932555</v>
      </c>
      <c r="AC26" s="56">
        <f t="shared" si="4"/>
        <v>1353.2794442251716</v>
      </c>
      <c r="AD26" s="56">
        <f t="shared" si="4"/>
        <v>1306.9628899868426</v>
      </c>
      <c r="AE26" s="56">
        <f t="shared" si="4"/>
        <v>1538.3786329619936</v>
      </c>
      <c r="AF26" s="56">
        <f t="shared" si="4"/>
        <v>1557.8617049149498</v>
      </c>
      <c r="AG26" s="56">
        <f t="shared" si="4"/>
        <v>1550.1253005837159</v>
      </c>
      <c r="AH26" s="56">
        <f t="shared" si="4"/>
        <v>1494.9752488324862</v>
      </c>
      <c r="AI26" s="56">
        <f t="shared" si="4"/>
        <v>1748.9810541924091</v>
      </c>
      <c r="AJ26" s="56">
        <f t="shared" si="4"/>
        <v>1765.9741733317912</v>
      </c>
      <c r="AK26" s="56">
        <f t="shared" si="4"/>
        <v>1750.1647986266703</v>
      </c>
    </row>
    <row r="27" spans="1:37" x14ac:dyDescent="0.45">
      <c r="A27" s="12" t="s">
        <v>554</v>
      </c>
      <c r="B27" s="57" t="s">
        <v>555</v>
      </c>
      <c r="C27" s="12" t="s">
        <v>70</v>
      </c>
      <c r="E27" s="13">
        <f>Hist_Q!E71</f>
        <v>292</v>
      </c>
      <c r="F27" s="13">
        <f>Hist_Q!F71</f>
        <v>187</v>
      </c>
      <c r="G27" s="13">
        <f>Hist_Q!G71</f>
        <v>143</v>
      </c>
      <c r="H27" s="13">
        <f>Hist_Q!H71</f>
        <v>165</v>
      </c>
      <c r="I27" s="13">
        <f>Hist_Q!I71</f>
        <v>167</v>
      </c>
      <c r="J27" s="13">
        <f>Hist_Q!J71</f>
        <v>159</v>
      </c>
      <c r="K27" s="13">
        <f>Hist_Q!K71</f>
        <v>132</v>
      </c>
      <c r="L27" s="13">
        <f>Hist_Q!L71</f>
        <v>111</v>
      </c>
      <c r="M27" s="13">
        <f>Hist_Q!M71</f>
        <v>101</v>
      </c>
      <c r="N27" s="13">
        <f>Hist_Q!N71</f>
        <v>136</v>
      </c>
      <c r="O27" s="13">
        <f>Hist_Q!O71</f>
        <v>136</v>
      </c>
      <c r="P27" s="13">
        <f>Hist_Q!P71</f>
        <v>59</v>
      </c>
      <c r="Q27" s="13">
        <f>Hist_Q!Q71</f>
        <v>52</v>
      </c>
      <c r="R27" s="13">
        <f>Hist_Q!R71</f>
        <v>47</v>
      </c>
      <c r="S27" s="13">
        <f>Hist_Q!S71</f>
        <v>55</v>
      </c>
      <c r="T27" s="13">
        <f>Hist_Q!T71</f>
        <v>46</v>
      </c>
      <c r="U27" s="13">
        <f>Hist_Q!U71</f>
        <v>52</v>
      </c>
      <c r="V27" s="13">
        <f>Hist_Q!V71</f>
        <v>40</v>
      </c>
      <c r="W27" s="13">
        <f>Hist_Q!W71</f>
        <v>32</v>
      </c>
      <c r="X27" s="50">
        <f t="shared" ref="X27:AK27" si="5">W27</f>
        <v>32</v>
      </c>
      <c r="Y27" s="50">
        <f t="shared" si="5"/>
        <v>32</v>
      </c>
      <c r="Z27" s="50">
        <f t="shared" si="5"/>
        <v>32</v>
      </c>
      <c r="AA27" s="50">
        <f t="shared" si="5"/>
        <v>32</v>
      </c>
      <c r="AB27" s="50">
        <f t="shared" si="5"/>
        <v>32</v>
      </c>
      <c r="AC27" s="50">
        <f t="shared" si="5"/>
        <v>32</v>
      </c>
      <c r="AD27" s="50">
        <f t="shared" si="5"/>
        <v>32</v>
      </c>
      <c r="AE27" s="50">
        <f t="shared" si="5"/>
        <v>32</v>
      </c>
      <c r="AF27" s="50">
        <f t="shared" si="5"/>
        <v>32</v>
      </c>
      <c r="AG27" s="50">
        <f t="shared" si="5"/>
        <v>32</v>
      </c>
      <c r="AH27" s="50">
        <f t="shared" si="5"/>
        <v>32</v>
      </c>
      <c r="AI27" s="50">
        <f t="shared" si="5"/>
        <v>32</v>
      </c>
      <c r="AJ27" s="50">
        <f t="shared" si="5"/>
        <v>32</v>
      </c>
      <c r="AK27" s="50">
        <f t="shared" si="5"/>
        <v>32</v>
      </c>
    </row>
    <row r="28" spans="1:37" x14ac:dyDescent="0.45">
      <c r="A28" s="12" t="s">
        <v>556</v>
      </c>
      <c r="B28" s="4" t="s">
        <v>557</v>
      </c>
      <c r="C28" s="12" t="s">
        <v>70</v>
      </c>
      <c r="E28" s="56">
        <f t="shared" ref="E28:AK28" si="6">E26+E27</f>
        <v>644</v>
      </c>
      <c r="F28" s="56">
        <f t="shared" si="6"/>
        <v>591</v>
      </c>
      <c r="G28" s="56">
        <f t="shared" si="6"/>
        <v>600</v>
      </c>
      <c r="H28" s="56">
        <f t="shared" si="6"/>
        <v>622</v>
      </c>
      <c r="I28" s="56">
        <f t="shared" si="6"/>
        <v>663</v>
      </c>
      <c r="J28" s="56">
        <f t="shared" si="6"/>
        <v>697</v>
      </c>
      <c r="K28" s="56">
        <f t="shared" si="6"/>
        <v>716</v>
      </c>
      <c r="L28" s="56">
        <f t="shared" si="6"/>
        <v>685</v>
      </c>
      <c r="M28" s="56">
        <f t="shared" si="6"/>
        <v>764</v>
      </c>
      <c r="N28" s="56">
        <f t="shared" si="6"/>
        <v>849</v>
      </c>
      <c r="O28" s="56">
        <f t="shared" si="6"/>
        <v>872</v>
      </c>
      <c r="P28" s="56">
        <f t="shared" si="6"/>
        <v>807</v>
      </c>
      <c r="Q28" s="56">
        <f t="shared" si="6"/>
        <v>863</v>
      </c>
      <c r="R28" s="56">
        <f t="shared" si="6"/>
        <v>891</v>
      </c>
      <c r="S28" s="56">
        <f t="shared" si="6"/>
        <v>949</v>
      </c>
      <c r="T28" s="56">
        <f t="shared" si="6"/>
        <v>957</v>
      </c>
      <c r="U28" s="56">
        <f t="shared" si="6"/>
        <v>1021</v>
      </c>
      <c r="V28" s="56">
        <f t="shared" si="6"/>
        <v>1104</v>
      </c>
      <c r="W28" s="56">
        <f t="shared" si="6"/>
        <v>1136</v>
      </c>
      <c r="X28" s="56">
        <f t="shared" si="6"/>
        <v>1186.0741699750643</v>
      </c>
      <c r="Y28" s="56">
        <f t="shared" si="6"/>
        <v>1192.73887310445</v>
      </c>
      <c r="Z28" s="56">
        <f t="shared" si="6"/>
        <v>1155.4022255609696</v>
      </c>
      <c r="AA28" s="56">
        <f t="shared" si="6"/>
        <v>1362.9475256695389</v>
      </c>
      <c r="AB28" s="56">
        <f t="shared" si="6"/>
        <v>1384.964050932555</v>
      </c>
      <c r="AC28" s="56">
        <f t="shared" si="6"/>
        <v>1385.2794442251716</v>
      </c>
      <c r="AD28" s="56">
        <f t="shared" si="6"/>
        <v>1338.9628899868426</v>
      </c>
      <c r="AE28" s="56">
        <f t="shared" si="6"/>
        <v>1570.3786329619936</v>
      </c>
      <c r="AF28" s="56">
        <f t="shared" si="6"/>
        <v>1589.8617049149498</v>
      </c>
      <c r="AG28" s="56">
        <f t="shared" si="6"/>
        <v>1582.1253005837159</v>
      </c>
      <c r="AH28" s="56">
        <f t="shared" si="6"/>
        <v>1526.9752488324862</v>
      </c>
      <c r="AI28" s="56">
        <f t="shared" si="6"/>
        <v>1780.9810541924091</v>
      </c>
      <c r="AJ28" s="56">
        <f t="shared" si="6"/>
        <v>1797.9741733317912</v>
      </c>
      <c r="AK28" s="56">
        <f t="shared" si="6"/>
        <v>1782.1647986266703</v>
      </c>
    </row>
    <row r="29" spans="1:37" x14ac:dyDescent="0.45">
      <c r="A29" s="12" t="s">
        <v>558</v>
      </c>
      <c r="B29" s="3" t="s">
        <v>559</v>
      </c>
      <c r="C29" s="12" t="s">
        <v>70</v>
      </c>
      <c r="E29" s="13">
        <f>Hist_Q!E66</f>
        <v>1091</v>
      </c>
      <c r="F29" s="13">
        <f>Hist_Q!F66</f>
        <v>1143</v>
      </c>
      <c r="G29" s="13">
        <f>Hist_Q!G66</f>
        <v>1150</v>
      </c>
      <c r="H29" s="13">
        <f>Hist_Q!H66</f>
        <v>1119</v>
      </c>
      <c r="I29" s="13">
        <f>Hist_Q!I66</f>
        <v>1098</v>
      </c>
      <c r="J29" s="13">
        <f>Hist_Q!J66</f>
        <v>1098</v>
      </c>
      <c r="K29" s="13">
        <f>Hist_Q!K66</f>
        <v>1079</v>
      </c>
      <c r="L29" s="13">
        <f>Hist_Q!L66</f>
        <v>1149</v>
      </c>
      <c r="M29" s="13">
        <f>Hist_Q!M66</f>
        <v>1194</v>
      </c>
      <c r="N29" s="13">
        <f>Hist_Q!N66</f>
        <v>1203</v>
      </c>
      <c r="O29" s="13">
        <f>Hist_Q!O66</f>
        <v>1283</v>
      </c>
      <c r="P29" s="13">
        <f>Hist_Q!P66</f>
        <v>1420</v>
      </c>
      <c r="Q29" s="13">
        <f>Hist_Q!Q66</f>
        <v>1545</v>
      </c>
      <c r="R29" s="13">
        <f>Hist_Q!R66</f>
        <v>1673</v>
      </c>
      <c r="S29" s="13">
        <f>Hist_Q!S66</f>
        <v>1818</v>
      </c>
      <c r="T29" s="13">
        <f>Hist_Q!T66</f>
        <v>2014</v>
      </c>
      <c r="U29" s="13">
        <f>Hist_Q!U66</f>
        <v>2124</v>
      </c>
      <c r="V29" s="13">
        <f>Hist_Q!V66</f>
        <v>1990</v>
      </c>
      <c r="W29" s="13">
        <f>Hist_Q!W66</f>
        <v>2045</v>
      </c>
      <c r="X29" s="13">
        <f>Schedules!X56</f>
        <v>2120.6977112679224</v>
      </c>
      <c r="Y29" s="13">
        <f>Schedules!Y56</f>
        <v>2188.2903184072361</v>
      </c>
      <c r="Z29" s="13">
        <f>Schedules!Z56</f>
        <v>2271.6715268293678</v>
      </c>
      <c r="AA29" s="13">
        <f>Schedules!AA56</f>
        <v>2385.2934163812292</v>
      </c>
      <c r="AB29" s="13">
        <f>Schedules!AB56</f>
        <v>2531.7841014921205</v>
      </c>
      <c r="AC29" s="13">
        <f>Schedules!AC56</f>
        <v>2665.8014907416728</v>
      </c>
      <c r="AD29" s="13">
        <f>Schedules!AD56</f>
        <v>2816.6945010295908</v>
      </c>
      <c r="AE29" s="13">
        <f>Schedules!AE56</f>
        <v>3003.7523188549117</v>
      </c>
      <c r="AF29" s="13">
        <f>Schedules!AF56</f>
        <v>3224.2379197677897</v>
      </c>
      <c r="AG29" s="13">
        <f>Schedules!AG56</f>
        <v>3427.4284900984576</v>
      </c>
      <c r="AH29" s="13">
        <f>Schedules!AH56</f>
        <v>3643.1960599303584</v>
      </c>
      <c r="AI29" s="13">
        <f>Schedules!AI56</f>
        <v>3900.723685477145</v>
      </c>
      <c r="AJ29" s="13">
        <f>Schedules!AJ56</f>
        <v>4192.0756283864639</v>
      </c>
      <c r="AK29" s="13">
        <f>Schedules!AK56</f>
        <v>4461.4356012927892</v>
      </c>
    </row>
    <row r="30" spans="1:37" x14ac:dyDescent="0.45">
      <c r="A30" s="12" t="s">
        <v>560</v>
      </c>
      <c r="B30" s="4" t="s">
        <v>561</v>
      </c>
      <c r="C30" s="12" t="s">
        <v>70</v>
      </c>
      <c r="E30" s="56">
        <f t="shared" ref="E30:AK30" si="7">E28+E29</f>
        <v>1735</v>
      </c>
      <c r="F30" s="56">
        <f t="shared" si="7"/>
        <v>1734</v>
      </c>
      <c r="G30" s="56">
        <f t="shared" si="7"/>
        <v>1750</v>
      </c>
      <c r="H30" s="56">
        <f t="shared" si="7"/>
        <v>1741</v>
      </c>
      <c r="I30" s="56">
        <f t="shared" si="7"/>
        <v>1761</v>
      </c>
      <c r="J30" s="56">
        <f t="shared" si="7"/>
        <v>1795</v>
      </c>
      <c r="K30" s="56">
        <f t="shared" si="7"/>
        <v>1795</v>
      </c>
      <c r="L30" s="56">
        <f t="shared" si="7"/>
        <v>1834</v>
      </c>
      <c r="M30" s="56">
        <f t="shared" si="7"/>
        <v>1958</v>
      </c>
      <c r="N30" s="56">
        <f t="shared" si="7"/>
        <v>2052</v>
      </c>
      <c r="O30" s="56">
        <f t="shared" si="7"/>
        <v>2155</v>
      </c>
      <c r="P30" s="56">
        <f t="shared" si="7"/>
        <v>2227</v>
      </c>
      <c r="Q30" s="56">
        <f t="shared" si="7"/>
        <v>2408</v>
      </c>
      <c r="R30" s="56">
        <f t="shared" si="7"/>
        <v>2564</v>
      </c>
      <c r="S30" s="56">
        <f t="shared" si="7"/>
        <v>2767</v>
      </c>
      <c r="T30" s="56">
        <f t="shared" si="7"/>
        <v>2971</v>
      </c>
      <c r="U30" s="56">
        <f t="shared" si="7"/>
        <v>3145</v>
      </c>
      <c r="V30" s="56">
        <f t="shared" si="7"/>
        <v>3094</v>
      </c>
      <c r="W30" s="56">
        <f t="shared" si="7"/>
        <v>3181</v>
      </c>
      <c r="X30" s="56">
        <f t="shared" si="7"/>
        <v>3306.7718812429866</v>
      </c>
      <c r="Y30" s="56">
        <f t="shared" si="7"/>
        <v>3381.0291915116859</v>
      </c>
      <c r="Z30" s="56">
        <f t="shared" si="7"/>
        <v>3427.0737523903372</v>
      </c>
      <c r="AA30" s="56">
        <f t="shared" si="7"/>
        <v>3748.2409420507684</v>
      </c>
      <c r="AB30" s="56">
        <f t="shared" si="7"/>
        <v>3916.7481524246755</v>
      </c>
      <c r="AC30" s="56">
        <f t="shared" si="7"/>
        <v>4051.0809349668443</v>
      </c>
      <c r="AD30" s="56">
        <f t="shared" si="7"/>
        <v>4155.6573910164334</v>
      </c>
      <c r="AE30" s="56">
        <f t="shared" si="7"/>
        <v>4574.1309518169055</v>
      </c>
      <c r="AF30" s="56">
        <f t="shared" si="7"/>
        <v>4814.0996246827399</v>
      </c>
      <c r="AG30" s="56">
        <f t="shared" si="7"/>
        <v>5009.5537906821737</v>
      </c>
      <c r="AH30" s="56">
        <f t="shared" si="7"/>
        <v>5170.171308762845</v>
      </c>
      <c r="AI30" s="56">
        <f t="shared" si="7"/>
        <v>5681.7047396695543</v>
      </c>
      <c r="AJ30" s="56">
        <f t="shared" si="7"/>
        <v>5990.0498017182554</v>
      </c>
      <c r="AK30" s="56">
        <f t="shared" si="7"/>
        <v>6243.60039991946</v>
      </c>
    </row>
    <row r="32" spans="1:37" x14ac:dyDescent="0.45">
      <c r="A32" s="12" t="s">
        <v>562</v>
      </c>
      <c r="B32" s="3" t="s">
        <v>563</v>
      </c>
      <c r="C32" s="12" t="s">
        <v>70</v>
      </c>
      <c r="E32" s="60">
        <f t="shared" ref="E32:AK32" si="8">ROUND(E21-E30,6)</f>
        <v>0</v>
      </c>
      <c r="F32" s="60">
        <f t="shared" si="8"/>
        <v>0</v>
      </c>
      <c r="G32" s="60">
        <f t="shared" si="8"/>
        <v>0</v>
      </c>
      <c r="H32" s="60">
        <f t="shared" si="8"/>
        <v>0</v>
      </c>
      <c r="I32" s="60">
        <f t="shared" si="8"/>
        <v>0</v>
      </c>
      <c r="J32" s="60">
        <f t="shared" si="8"/>
        <v>0</v>
      </c>
      <c r="K32" s="60">
        <f t="shared" si="8"/>
        <v>0</v>
      </c>
      <c r="L32" s="60">
        <f t="shared" si="8"/>
        <v>0</v>
      </c>
      <c r="M32" s="60">
        <f t="shared" si="8"/>
        <v>0</v>
      </c>
      <c r="N32" s="60">
        <f t="shared" si="8"/>
        <v>0</v>
      </c>
      <c r="O32" s="60">
        <f t="shared" si="8"/>
        <v>0</v>
      </c>
      <c r="P32" s="60">
        <f t="shared" si="8"/>
        <v>0</v>
      </c>
      <c r="Q32" s="60">
        <f t="shared" si="8"/>
        <v>0</v>
      </c>
      <c r="R32" s="60">
        <f t="shared" si="8"/>
        <v>0</v>
      </c>
      <c r="S32" s="60">
        <f t="shared" si="8"/>
        <v>0</v>
      </c>
      <c r="T32" s="60">
        <f t="shared" si="8"/>
        <v>0</v>
      </c>
      <c r="U32" s="60">
        <f t="shared" si="8"/>
        <v>0</v>
      </c>
      <c r="V32" s="60">
        <f t="shared" si="8"/>
        <v>0</v>
      </c>
      <c r="W32" s="60">
        <f t="shared" si="8"/>
        <v>0</v>
      </c>
      <c r="X32" s="60">
        <f t="shared" si="8"/>
        <v>0</v>
      </c>
      <c r="Y32" s="60">
        <f t="shared" si="8"/>
        <v>0</v>
      </c>
      <c r="Z32" s="60">
        <f t="shared" si="8"/>
        <v>0</v>
      </c>
      <c r="AA32" s="60">
        <f t="shared" si="8"/>
        <v>0</v>
      </c>
      <c r="AB32" s="60">
        <f t="shared" si="8"/>
        <v>0</v>
      </c>
      <c r="AC32" s="60">
        <f t="shared" si="8"/>
        <v>0</v>
      </c>
      <c r="AD32" s="60">
        <f t="shared" si="8"/>
        <v>0</v>
      </c>
      <c r="AE32" s="60">
        <f t="shared" si="8"/>
        <v>0</v>
      </c>
      <c r="AF32" s="60">
        <f t="shared" si="8"/>
        <v>0</v>
      </c>
      <c r="AG32" s="60">
        <f t="shared" si="8"/>
        <v>0</v>
      </c>
      <c r="AH32" s="60">
        <f t="shared" si="8"/>
        <v>0</v>
      </c>
      <c r="AI32" s="60">
        <f t="shared" si="8"/>
        <v>0</v>
      </c>
      <c r="AJ32" s="60">
        <f t="shared" si="8"/>
        <v>0</v>
      </c>
      <c r="AK32" s="60">
        <f t="shared" si="8"/>
        <v>0</v>
      </c>
    </row>
    <row r="33" spans="1:23" x14ac:dyDescent="0.45">
      <c r="A33" s="12" t="s">
        <v>564</v>
      </c>
      <c r="B33" s="3" t="s">
        <v>565</v>
      </c>
      <c r="C33" s="12" t="s">
        <v>70</v>
      </c>
      <c r="E33" s="13">
        <f>Hist_Q!E60</f>
        <v>1735</v>
      </c>
      <c r="F33" s="13">
        <f>Hist_Q!F60</f>
        <v>1734</v>
      </c>
      <c r="G33" s="13">
        <f>Hist_Q!G60</f>
        <v>1750</v>
      </c>
      <c r="H33" s="13">
        <f>Hist_Q!H60</f>
        <v>1741</v>
      </c>
      <c r="I33" s="13">
        <f>Hist_Q!I60</f>
        <v>1761</v>
      </c>
      <c r="J33" s="13">
        <f>Hist_Q!J60</f>
        <v>1795</v>
      </c>
      <c r="K33" s="13">
        <f>Hist_Q!K60</f>
        <v>1795</v>
      </c>
      <c r="L33" s="13">
        <f>Hist_Q!L60</f>
        <v>1834</v>
      </c>
      <c r="M33" s="13">
        <f>Hist_Q!M60</f>
        <v>1958</v>
      </c>
      <c r="N33" s="13">
        <f>Hist_Q!N60</f>
        <v>2052</v>
      </c>
      <c r="O33" s="13">
        <f>Hist_Q!O60</f>
        <v>2155</v>
      </c>
      <c r="P33" s="13">
        <f>Hist_Q!P60</f>
        <v>2227</v>
      </c>
      <c r="Q33" s="13">
        <f>Hist_Q!Q60</f>
        <v>2408</v>
      </c>
      <c r="R33" s="13">
        <f>Hist_Q!R60</f>
        <v>2564</v>
      </c>
      <c r="S33" s="13">
        <f>Hist_Q!S60</f>
        <v>2767</v>
      </c>
      <c r="T33" s="13">
        <f>Hist_Q!T60</f>
        <v>2971</v>
      </c>
      <c r="U33" s="13">
        <f>Hist_Q!U60</f>
        <v>3145</v>
      </c>
      <c r="V33" s="13">
        <f>Hist_Q!V60</f>
        <v>3094</v>
      </c>
      <c r="W33" s="13">
        <f>Hist_Q!W60</f>
        <v>3181</v>
      </c>
    </row>
    <row r="34" spans="1:23" x14ac:dyDescent="0.45">
      <c r="A34" s="12" t="s">
        <v>566</v>
      </c>
      <c r="B34" s="3" t="s">
        <v>567</v>
      </c>
      <c r="C34" s="12" t="s">
        <v>70</v>
      </c>
      <c r="E34" s="60">
        <f t="shared" ref="E34:W34" si="9">ROUND(E21-E33,6)</f>
        <v>0</v>
      </c>
      <c r="F34" s="60">
        <f t="shared" si="9"/>
        <v>0</v>
      </c>
      <c r="G34" s="60">
        <f t="shared" si="9"/>
        <v>0</v>
      </c>
      <c r="H34" s="60">
        <f t="shared" si="9"/>
        <v>0</v>
      </c>
      <c r="I34" s="60">
        <f t="shared" si="9"/>
        <v>0</v>
      </c>
      <c r="J34" s="60">
        <f t="shared" si="9"/>
        <v>0</v>
      </c>
      <c r="K34" s="60">
        <f t="shared" si="9"/>
        <v>0</v>
      </c>
      <c r="L34" s="60">
        <f t="shared" si="9"/>
        <v>0</v>
      </c>
      <c r="M34" s="60">
        <f t="shared" si="9"/>
        <v>0</v>
      </c>
      <c r="N34" s="60">
        <f t="shared" si="9"/>
        <v>0</v>
      </c>
      <c r="O34" s="60">
        <f t="shared" si="9"/>
        <v>0</v>
      </c>
      <c r="P34" s="60">
        <f t="shared" si="9"/>
        <v>0</v>
      </c>
      <c r="Q34" s="60">
        <f t="shared" si="9"/>
        <v>0</v>
      </c>
      <c r="R34" s="60">
        <f t="shared" si="9"/>
        <v>0</v>
      </c>
      <c r="S34" s="60">
        <f t="shared" si="9"/>
        <v>0</v>
      </c>
      <c r="T34" s="60">
        <f t="shared" si="9"/>
        <v>0</v>
      </c>
      <c r="U34" s="60">
        <f t="shared" si="9"/>
        <v>0</v>
      </c>
      <c r="V34" s="60">
        <f t="shared" si="9"/>
        <v>0</v>
      </c>
      <c r="W34" s="60">
        <f t="shared" si="9"/>
        <v>0</v>
      </c>
    </row>
    <row r="35" spans="1:23" x14ac:dyDescent="0.45">
      <c r="A35" s="12" t="s">
        <v>568</v>
      </c>
      <c r="B35" s="3" t="s">
        <v>569</v>
      </c>
      <c r="C35" s="12" t="s">
        <v>70</v>
      </c>
      <c r="E35" s="13">
        <f>Hist_Q!E64</f>
        <v>644</v>
      </c>
      <c r="F35" s="13">
        <f>Hist_Q!F64</f>
        <v>591</v>
      </c>
      <c r="G35" s="13">
        <f>Hist_Q!G64</f>
        <v>600</v>
      </c>
      <c r="H35" s="13">
        <f>Hist_Q!H64</f>
        <v>622</v>
      </c>
      <c r="I35" s="13">
        <f>Hist_Q!I64</f>
        <v>663</v>
      </c>
      <c r="J35" s="13">
        <f>Hist_Q!J64</f>
        <v>697</v>
      </c>
      <c r="K35" s="13">
        <f>Hist_Q!K64</f>
        <v>716</v>
      </c>
      <c r="L35" s="13">
        <f>Hist_Q!L64</f>
        <v>685</v>
      </c>
      <c r="M35" s="13">
        <f>Hist_Q!M64</f>
        <v>764</v>
      </c>
      <c r="N35" s="13">
        <f>Hist_Q!N64</f>
        <v>849</v>
      </c>
      <c r="O35" s="13">
        <f>Hist_Q!O64</f>
        <v>872</v>
      </c>
      <c r="P35" s="13">
        <f>Hist_Q!P64</f>
        <v>807</v>
      </c>
      <c r="Q35" s="13">
        <f>Hist_Q!Q64</f>
        <v>863</v>
      </c>
      <c r="R35" s="13">
        <f>Hist_Q!R64</f>
        <v>891</v>
      </c>
      <c r="S35" s="13">
        <f>Hist_Q!S64</f>
        <v>949</v>
      </c>
      <c r="T35" s="13">
        <f>Hist_Q!T64</f>
        <v>957</v>
      </c>
      <c r="U35" s="13">
        <f>Hist_Q!U64</f>
        <v>1021</v>
      </c>
      <c r="V35" s="13">
        <f>Hist_Q!V64</f>
        <v>1104</v>
      </c>
      <c r="W35" s="13">
        <f>Hist_Q!W64</f>
        <v>1136</v>
      </c>
    </row>
    <row r="36" spans="1:23" x14ac:dyDescent="0.45">
      <c r="A36" s="12" t="s">
        <v>570</v>
      </c>
      <c r="B36" s="3" t="s">
        <v>571</v>
      </c>
      <c r="C36" s="12" t="s">
        <v>70</v>
      </c>
      <c r="E36" s="60">
        <f t="shared" ref="E36:W36" si="10">ROUND(E28-E35,6)</f>
        <v>0</v>
      </c>
      <c r="F36" s="60">
        <f t="shared" si="10"/>
        <v>0</v>
      </c>
      <c r="G36" s="60">
        <f t="shared" si="10"/>
        <v>0</v>
      </c>
      <c r="H36" s="60">
        <f t="shared" si="10"/>
        <v>0</v>
      </c>
      <c r="I36" s="60">
        <f t="shared" si="10"/>
        <v>0</v>
      </c>
      <c r="J36" s="60">
        <f t="shared" si="10"/>
        <v>0</v>
      </c>
      <c r="K36" s="60">
        <f t="shared" si="10"/>
        <v>0</v>
      </c>
      <c r="L36" s="60">
        <f t="shared" si="10"/>
        <v>0</v>
      </c>
      <c r="M36" s="60">
        <f t="shared" si="10"/>
        <v>0</v>
      </c>
      <c r="N36" s="60">
        <f t="shared" si="10"/>
        <v>0</v>
      </c>
      <c r="O36" s="60">
        <f t="shared" si="10"/>
        <v>0</v>
      </c>
      <c r="P36" s="60">
        <f t="shared" si="10"/>
        <v>0</v>
      </c>
      <c r="Q36" s="60">
        <f t="shared" si="10"/>
        <v>0</v>
      </c>
      <c r="R36" s="60">
        <f t="shared" si="10"/>
        <v>0</v>
      </c>
      <c r="S36" s="60">
        <f t="shared" si="10"/>
        <v>0</v>
      </c>
      <c r="T36" s="60">
        <f t="shared" si="10"/>
        <v>0</v>
      </c>
      <c r="U36" s="60">
        <f t="shared" si="10"/>
        <v>0</v>
      </c>
      <c r="V36" s="60">
        <f t="shared" si="10"/>
        <v>0</v>
      </c>
      <c r="W36" s="60">
        <f t="shared" si="10"/>
        <v>0</v>
      </c>
    </row>
  </sheetData>
  <pageMargins left="0.75" right="0.75" top="1" bottom="1" header="0.5" footer="0.5"/>
  <pageSetup fitToHeight="0"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K35"/>
  <sheetViews>
    <sheetView showGridLines="0" zoomScale="90" workbookViewId="0">
      <pane xSplit="4" ySplit="8" topLeftCell="E9" activePane="bottomRight" state="frozen"/>
      <selection pane="topRight"/>
      <selection pane="bottomLeft"/>
      <selection pane="bottomRight"/>
    </sheetView>
  </sheetViews>
  <sheetFormatPr defaultRowHeight="14.25" x14ac:dyDescent="0.45"/>
  <cols>
    <col min="1" max="1" width="13" customWidth="1"/>
    <col min="2" max="2" width="50" customWidth="1"/>
    <col min="3" max="3" width="11" customWidth="1"/>
    <col min="4" max="4" width="3" customWidth="1"/>
    <col min="5" max="37" width="10" customWidth="1"/>
  </cols>
  <sheetData>
    <row r="1" spans="1:37" ht="18" x14ac:dyDescent="0.55000000000000004">
      <c r="A1" s="1" t="s">
        <v>572</v>
      </c>
    </row>
    <row r="2" spans="1:37" x14ac:dyDescent="0.45">
      <c r="A2" s="2" t="s">
        <v>573</v>
      </c>
    </row>
    <row r="4" spans="1:37" x14ac:dyDescent="0.45">
      <c r="A4" s="12" t="s">
        <v>279</v>
      </c>
      <c r="B4" s="4" t="s">
        <v>92</v>
      </c>
      <c r="C4" s="12"/>
      <c r="E4" s="10" t="str">
        <f>Drivers!E$4</f>
        <v>Q4'21</v>
      </c>
      <c r="F4" s="10" t="str">
        <f>Drivers!F$4</f>
        <v>Q1'22</v>
      </c>
      <c r="G4" s="10" t="str">
        <f>Drivers!G$4</f>
        <v>Q2'22</v>
      </c>
      <c r="H4" s="10" t="str">
        <f>Drivers!H$4</f>
        <v>Q3'22</v>
      </c>
      <c r="I4" s="10" t="str">
        <f>Drivers!I$4</f>
        <v>Q4'22</v>
      </c>
      <c r="J4" s="10" t="str">
        <f>Drivers!J$4</f>
        <v>Q1'23</v>
      </c>
      <c r="K4" s="10" t="str">
        <f>Drivers!K$4</f>
        <v>Q2'23</v>
      </c>
      <c r="L4" s="10" t="str">
        <f>Drivers!L$4</f>
        <v>Q3'23</v>
      </c>
      <c r="M4" s="10" t="str">
        <f>Drivers!M$4</f>
        <v>Q4'23</v>
      </c>
      <c r="N4" s="10" t="str">
        <f>Drivers!N$4</f>
        <v>Q1'24</v>
      </c>
      <c r="O4" s="10" t="str">
        <f>Drivers!O$4</f>
        <v>Q2'24</v>
      </c>
      <c r="P4" s="10" t="str">
        <f>Drivers!P$4</f>
        <v>Q3'24</v>
      </c>
      <c r="Q4" s="10" t="str">
        <f>Drivers!Q$4</f>
        <v>Q4'24</v>
      </c>
      <c r="R4" s="10" t="str">
        <f>Drivers!R$4</f>
        <v>Q1'25</v>
      </c>
      <c r="S4" s="10" t="str">
        <f>Drivers!S$4</f>
        <v>Q2'25</v>
      </c>
      <c r="T4" s="10" t="str">
        <f>Drivers!T$4</f>
        <v>Q3'25</v>
      </c>
      <c r="U4" s="10" t="str">
        <f>Drivers!U$4</f>
        <v>Q4'25</v>
      </c>
      <c r="V4" s="10" t="str">
        <f>Drivers!V$4</f>
        <v>Q1'26</v>
      </c>
      <c r="W4" s="10" t="str">
        <f>Drivers!W$4</f>
        <v>Q2'26</v>
      </c>
      <c r="X4" s="11" t="str">
        <f>Drivers!X$4</f>
        <v>Q3'26</v>
      </c>
      <c r="Y4" s="11" t="str">
        <f>Drivers!Y$4</f>
        <v>Q4'26</v>
      </c>
      <c r="Z4" s="11" t="str">
        <f>Drivers!Z$4</f>
        <v>Q1'27</v>
      </c>
      <c r="AA4" s="11" t="str">
        <f>Drivers!AA$4</f>
        <v>Q2'27</v>
      </c>
      <c r="AB4" s="11" t="str">
        <f>Drivers!AB$4</f>
        <v>Q3'27</v>
      </c>
      <c r="AC4" s="11" t="str">
        <f>Drivers!AC$4</f>
        <v>Q4'27</v>
      </c>
      <c r="AD4" s="11" t="str">
        <f>Drivers!AD$4</f>
        <v>Q1'28</v>
      </c>
      <c r="AE4" s="11" t="str">
        <f>Drivers!AE$4</f>
        <v>Q2'28</v>
      </c>
      <c r="AF4" s="11" t="str">
        <f>Drivers!AF$4</f>
        <v>Q3'28</v>
      </c>
      <c r="AG4" s="11" t="str">
        <f>Drivers!AG$4</f>
        <v>Q4'28</v>
      </c>
      <c r="AH4" s="11" t="str">
        <f>Drivers!AH$4</f>
        <v>Q1'29</v>
      </c>
      <c r="AI4" s="11" t="str">
        <f>Drivers!AI$4</f>
        <v>Q2'29</v>
      </c>
      <c r="AJ4" s="11" t="str">
        <f>Drivers!AJ$4</f>
        <v>Q3'29</v>
      </c>
      <c r="AK4" s="11" t="str">
        <f>Drivers!AK$4</f>
        <v>Q4'29</v>
      </c>
    </row>
    <row r="5" spans="1:37" x14ac:dyDescent="0.45">
      <c r="A5" s="12" t="s">
        <v>280</v>
      </c>
      <c r="B5" s="3" t="s">
        <v>281</v>
      </c>
      <c r="C5" s="12"/>
      <c r="E5" s="45" t="str">
        <f>Drivers!E$5</f>
        <v>A</v>
      </c>
      <c r="F5" s="45" t="str">
        <f>Drivers!F$5</f>
        <v>A</v>
      </c>
      <c r="G5" s="45" t="str">
        <f>Drivers!G$5</f>
        <v>A</v>
      </c>
      <c r="H5" s="45" t="str">
        <f>Drivers!H$5</f>
        <v>A</v>
      </c>
      <c r="I5" s="45" t="str">
        <f>Drivers!I$5</f>
        <v>A</v>
      </c>
      <c r="J5" s="45" t="str">
        <f>Drivers!J$5</f>
        <v>A</v>
      </c>
      <c r="K5" s="45" t="str">
        <f>Drivers!K$5</f>
        <v>A</v>
      </c>
      <c r="L5" s="45" t="str">
        <f>Drivers!L$5</f>
        <v>A</v>
      </c>
      <c r="M5" s="45" t="str">
        <f>Drivers!M$5</f>
        <v>A</v>
      </c>
      <c r="N5" s="45" t="str">
        <f>Drivers!N$5</f>
        <v>A</v>
      </c>
      <c r="O5" s="45" t="str">
        <f>Drivers!O$5</f>
        <v>A</v>
      </c>
      <c r="P5" s="45" t="str">
        <f>Drivers!P$5</f>
        <v>A</v>
      </c>
      <c r="Q5" s="45" t="str">
        <f>Drivers!Q$5</f>
        <v>A</v>
      </c>
      <c r="R5" s="45" t="str">
        <f>Drivers!R$5</f>
        <v>A</v>
      </c>
      <c r="S5" s="45" t="str">
        <f>Drivers!S$5</f>
        <v>A</v>
      </c>
      <c r="T5" s="45" t="str">
        <f>Drivers!T$5</f>
        <v>A</v>
      </c>
      <c r="U5" s="45" t="str">
        <f>Drivers!U$5</f>
        <v>A</v>
      </c>
      <c r="V5" s="45" t="str">
        <f>Drivers!V$5</f>
        <v>A</v>
      </c>
      <c r="W5" s="45" t="str">
        <f>Drivers!W$5</f>
        <v>A</v>
      </c>
      <c r="X5" s="46" t="str">
        <f>Drivers!X$5</f>
        <v>F</v>
      </c>
      <c r="Y5" s="46" t="str">
        <f>Drivers!Y$5</f>
        <v>F</v>
      </c>
      <c r="Z5" s="46" t="str">
        <f>Drivers!Z$5</f>
        <v>F</v>
      </c>
      <c r="AA5" s="46" t="str">
        <f>Drivers!AA$5</f>
        <v>F</v>
      </c>
      <c r="AB5" s="46" t="str">
        <f>Drivers!AB$5</f>
        <v>F</v>
      </c>
      <c r="AC5" s="46" t="str">
        <f>Drivers!AC$5</f>
        <v>F</v>
      </c>
      <c r="AD5" s="46" t="str">
        <f>Drivers!AD$5</f>
        <v>F</v>
      </c>
      <c r="AE5" s="46" t="str">
        <f>Drivers!AE$5</f>
        <v>F</v>
      </c>
      <c r="AF5" s="46" t="str">
        <f>Drivers!AF$5</f>
        <v>F</v>
      </c>
      <c r="AG5" s="46" t="str">
        <f>Drivers!AG$5</f>
        <v>F</v>
      </c>
      <c r="AH5" s="46" t="str">
        <f>Drivers!AH$5</f>
        <v>F</v>
      </c>
      <c r="AI5" s="46" t="str">
        <f>Drivers!AI$5</f>
        <v>F</v>
      </c>
      <c r="AJ5" s="46" t="str">
        <f>Drivers!AJ$5</f>
        <v>F</v>
      </c>
      <c r="AK5" s="46" t="str">
        <f>Drivers!AK$5</f>
        <v>F</v>
      </c>
    </row>
    <row r="6" spans="1:37" x14ac:dyDescent="0.45">
      <c r="A6" s="12" t="s">
        <v>282</v>
      </c>
      <c r="B6" s="3" t="s">
        <v>97</v>
      </c>
      <c r="C6" s="12"/>
      <c r="E6" s="20">
        <f>Drivers!E$6</f>
        <v>2021</v>
      </c>
      <c r="F6" s="20">
        <f>Drivers!F$6</f>
        <v>2022</v>
      </c>
      <c r="G6" s="20">
        <f>Drivers!G$6</f>
        <v>2022</v>
      </c>
      <c r="H6" s="20">
        <f>Drivers!H$6</f>
        <v>2022</v>
      </c>
      <c r="I6" s="20">
        <f>Drivers!I$6</f>
        <v>2022</v>
      </c>
      <c r="J6" s="20">
        <f>Drivers!J$6</f>
        <v>2023</v>
      </c>
      <c r="K6" s="20">
        <f>Drivers!K$6</f>
        <v>2023</v>
      </c>
      <c r="L6" s="20">
        <f>Drivers!L$6</f>
        <v>2023</v>
      </c>
      <c r="M6" s="20">
        <f>Drivers!M$6</f>
        <v>2023</v>
      </c>
      <c r="N6" s="20">
        <f>Drivers!N$6</f>
        <v>2024</v>
      </c>
      <c r="O6" s="20">
        <f>Drivers!O$6</f>
        <v>2024</v>
      </c>
      <c r="P6" s="20">
        <f>Drivers!P$6</f>
        <v>2024</v>
      </c>
      <c r="Q6" s="20">
        <f>Drivers!Q$6</f>
        <v>2024</v>
      </c>
      <c r="R6" s="20">
        <f>Drivers!R$6</f>
        <v>2025</v>
      </c>
      <c r="S6" s="20">
        <f>Drivers!S$6</f>
        <v>2025</v>
      </c>
      <c r="T6" s="20">
        <f>Drivers!T$6</f>
        <v>2025</v>
      </c>
      <c r="U6" s="20">
        <f>Drivers!U$6</f>
        <v>2025</v>
      </c>
      <c r="V6" s="20">
        <f>Drivers!V$6</f>
        <v>2026</v>
      </c>
      <c r="W6" s="20">
        <f>Drivers!W$6</f>
        <v>2026</v>
      </c>
      <c r="X6" s="20">
        <f>Drivers!X$6</f>
        <v>2026</v>
      </c>
      <c r="Y6" s="20">
        <f>Drivers!Y$6</f>
        <v>2026</v>
      </c>
      <c r="Z6" s="20">
        <f>Drivers!Z$6</f>
        <v>2027</v>
      </c>
      <c r="AA6" s="20">
        <f>Drivers!AA$6</f>
        <v>2027</v>
      </c>
      <c r="AB6" s="20">
        <f>Drivers!AB$6</f>
        <v>2027</v>
      </c>
      <c r="AC6" s="20">
        <f>Drivers!AC$6</f>
        <v>2027</v>
      </c>
      <c r="AD6" s="20">
        <f>Drivers!AD$6</f>
        <v>2028</v>
      </c>
      <c r="AE6" s="20">
        <f>Drivers!AE$6</f>
        <v>2028</v>
      </c>
      <c r="AF6" s="20">
        <f>Drivers!AF$6</f>
        <v>2028</v>
      </c>
      <c r="AG6" s="20">
        <f>Drivers!AG$6</f>
        <v>2028</v>
      </c>
      <c r="AH6" s="20">
        <f>Drivers!AH$6</f>
        <v>2029</v>
      </c>
      <c r="AI6" s="20">
        <f>Drivers!AI$6</f>
        <v>2029</v>
      </c>
      <c r="AJ6" s="20">
        <f>Drivers!AJ$6</f>
        <v>2029</v>
      </c>
      <c r="AK6" s="20">
        <f>Drivers!AK$6</f>
        <v>2029</v>
      </c>
    </row>
    <row r="7" spans="1:37" x14ac:dyDescent="0.45">
      <c r="A7" s="12" t="s">
        <v>283</v>
      </c>
      <c r="B7" s="3" t="s">
        <v>284</v>
      </c>
      <c r="C7" s="12"/>
      <c r="E7" s="20">
        <f>Drivers!E$7</f>
        <v>4</v>
      </c>
      <c r="F7" s="20">
        <f>Drivers!F$7</f>
        <v>1</v>
      </c>
      <c r="G7" s="20">
        <f>Drivers!G$7</f>
        <v>2</v>
      </c>
      <c r="H7" s="20">
        <f>Drivers!H$7</f>
        <v>3</v>
      </c>
      <c r="I7" s="20">
        <f>Drivers!I$7</f>
        <v>4</v>
      </c>
      <c r="J7" s="20">
        <f>Drivers!J$7</f>
        <v>1</v>
      </c>
      <c r="K7" s="20">
        <f>Drivers!K$7</f>
        <v>2</v>
      </c>
      <c r="L7" s="20">
        <f>Drivers!L$7</f>
        <v>3</v>
      </c>
      <c r="M7" s="20">
        <f>Drivers!M$7</f>
        <v>4</v>
      </c>
      <c r="N7" s="20">
        <f>Drivers!N$7</f>
        <v>1</v>
      </c>
      <c r="O7" s="20">
        <f>Drivers!O$7</f>
        <v>2</v>
      </c>
      <c r="P7" s="20">
        <f>Drivers!P$7</f>
        <v>3</v>
      </c>
      <c r="Q7" s="20">
        <f>Drivers!Q$7</f>
        <v>4</v>
      </c>
      <c r="R7" s="20">
        <f>Drivers!R$7</f>
        <v>1</v>
      </c>
      <c r="S7" s="20">
        <f>Drivers!S$7</f>
        <v>2</v>
      </c>
      <c r="T7" s="20">
        <f>Drivers!T$7</f>
        <v>3</v>
      </c>
      <c r="U7" s="20">
        <f>Drivers!U$7</f>
        <v>4</v>
      </c>
      <c r="V7" s="20">
        <f>Drivers!V$7</f>
        <v>1</v>
      </c>
      <c r="W7" s="20">
        <f>Drivers!W$7</f>
        <v>2</v>
      </c>
      <c r="X7" s="20">
        <f>Drivers!X$7</f>
        <v>3</v>
      </c>
      <c r="Y7" s="20">
        <f>Drivers!Y$7</f>
        <v>4</v>
      </c>
      <c r="Z7" s="20">
        <f>Drivers!Z$7</f>
        <v>1</v>
      </c>
      <c r="AA7" s="20">
        <f>Drivers!AA$7</f>
        <v>2</v>
      </c>
      <c r="AB7" s="20">
        <f>Drivers!AB$7</f>
        <v>3</v>
      </c>
      <c r="AC7" s="20">
        <f>Drivers!AC$7</f>
        <v>4</v>
      </c>
      <c r="AD7" s="20">
        <f>Drivers!AD$7</f>
        <v>1</v>
      </c>
      <c r="AE7" s="20">
        <f>Drivers!AE$7</f>
        <v>2</v>
      </c>
      <c r="AF7" s="20">
        <f>Drivers!AF$7</f>
        <v>3</v>
      </c>
      <c r="AG7" s="20">
        <f>Drivers!AG$7</f>
        <v>4</v>
      </c>
      <c r="AH7" s="20">
        <f>Drivers!AH$7</f>
        <v>1</v>
      </c>
      <c r="AI7" s="20">
        <f>Drivers!AI$7</f>
        <v>2</v>
      </c>
      <c r="AJ7" s="20">
        <f>Drivers!AJ$7</f>
        <v>3</v>
      </c>
      <c r="AK7" s="20">
        <f>Drivers!AK$7</f>
        <v>4</v>
      </c>
    </row>
    <row r="8" spans="1:37" x14ac:dyDescent="0.45">
      <c r="A8" s="12" t="s">
        <v>285</v>
      </c>
      <c r="B8" s="3" t="s">
        <v>286</v>
      </c>
      <c r="C8" s="12"/>
      <c r="E8" s="47">
        <f>Drivers!E$8</f>
        <v>44561</v>
      </c>
      <c r="F8" s="47">
        <f>Drivers!F$8</f>
        <v>44651</v>
      </c>
      <c r="G8" s="47">
        <f>Drivers!G$8</f>
        <v>44742</v>
      </c>
      <c r="H8" s="47">
        <f>Drivers!H$8</f>
        <v>44834</v>
      </c>
      <c r="I8" s="47">
        <f>Drivers!I$8</f>
        <v>44926</v>
      </c>
      <c r="J8" s="47">
        <f>Drivers!J$8</f>
        <v>45016</v>
      </c>
      <c r="K8" s="47">
        <f>Drivers!K$8</f>
        <v>45107</v>
      </c>
      <c r="L8" s="47">
        <f>Drivers!L$8</f>
        <v>45199</v>
      </c>
      <c r="M8" s="47">
        <f>Drivers!M$8</f>
        <v>45291</v>
      </c>
      <c r="N8" s="47">
        <f>Drivers!N$8</f>
        <v>45382</v>
      </c>
      <c r="O8" s="47">
        <f>Drivers!O$8</f>
        <v>45473</v>
      </c>
      <c r="P8" s="47">
        <f>Drivers!P$8</f>
        <v>45565</v>
      </c>
      <c r="Q8" s="47">
        <f>Drivers!Q$8</f>
        <v>45657</v>
      </c>
      <c r="R8" s="47">
        <f>Drivers!R$8</f>
        <v>45747</v>
      </c>
      <c r="S8" s="47">
        <f>Drivers!S$8</f>
        <v>45838</v>
      </c>
      <c r="T8" s="47">
        <f>Drivers!T$8</f>
        <v>45930</v>
      </c>
      <c r="U8" s="47">
        <f>Drivers!U$8</f>
        <v>46022</v>
      </c>
      <c r="V8" s="47">
        <f>Drivers!V$8</f>
        <v>46112</v>
      </c>
      <c r="W8" s="47">
        <f>Drivers!W$8</f>
        <v>46203</v>
      </c>
      <c r="X8" s="47">
        <f>Drivers!X$8</f>
        <v>46295</v>
      </c>
      <c r="Y8" s="47">
        <f>Drivers!Y$8</f>
        <v>46387</v>
      </c>
      <c r="Z8" s="47">
        <f>Drivers!Z$8</f>
        <v>46477</v>
      </c>
      <c r="AA8" s="47">
        <f>Drivers!AA$8</f>
        <v>46568</v>
      </c>
      <c r="AB8" s="47">
        <f>Drivers!AB$8</f>
        <v>46660</v>
      </c>
      <c r="AC8" s="47">
        <f>Drivers!AC$8</f>
        <v>46752</v>
      </c>
      <c r="AD8" s="47">
        <f>Drivers!AD$8</f>
        <v>46843</v>
      </c>
      <c r="AE8" s="47">
        <f>Drivers!AE$8</f>
        <v>46934</v>
      </c>
      <c r="AF8" s="47">
        <f>Drivers!AF$8</f>
        <v>47026</v>
      </c>
      <c r="AG8" s="47">
        <f>Drivers!AG$8</f>
        <v>47118</v>
      </c>
      <c r="AH8" s="47">
        <f>Drivers!AH$8</f>
        <v>47208</v>
      </c>
      <c r="AI8" s="47">
        <f>Drivers!AI$8</f>
        <v>47299</v>
      </c>
      <c r="AJ8" s="47">
        <f>Drivers!AJ$8</f>
        <v>47391</v>
      </c>
      <c r="AK8" s="47">
        <f>Drivers!AK$8</f>
        <v>47483</v>
      </c>
    </row>
    <row r="9" spans="1:37" x14ac:dyDescent="0.45">
      <c r="A9" s="21"/>
      <c r="B9" s="22" t="s">
        <v>574</v>
      </c>
      <c r="C9" s="21"/>
      <c r="D9" s="21"/>
      <c r="E9" s="21"/>
      <c r="F9" s="21"/>
      <c r="G9" s="21"/>
      <c r="H9" s="21"/>
      <c r="I9" s="21"/>
      <c r="J9" s="21"/>
      <c r="K9" s="21"/>
      <c r="L9" s="21"/>
      <c r="M9" s="21"/>
      <c r="N9" s="21"/>
      <c r="O9" s="21"/>
      <c r="P9" s="21"/>
      <c r="Q9" s="21"/>
      <c r="R9" s="21"/>
      <c r="S9" s="21"/>
      <c r="T9" s="21"/>
      <c r="U9" s="21"/>
      <c r="V9" s="21"/>
      <c r="W9" s="21"/>
      <c r="X9" s="21"/>
      <c r="Y9" s="21"/>
      <c r="Z9" s="21"/>
      <c r="AA9" s="21"/>
      <c r="AB9" s="21"/>
      <c r="AC9" s="21"/>
      <c r="AD9" s="21"/>
      <c r="AE9" s="21"/>
      <c r="AF9" s="21"/>
      <c r="AG9" s="21"/>
      <c r="AH9" s="21"/>
      <c r="AI9" s="21"/>
      <c r="AJ9" s="21"/>
      <c r="AK9" s="21"/>
    </row>
    <row r="10" spans="1:37" x14ac:dyDescent="0.45">
      <c r="A10" s="12" t="s">
        <v>474</v>
      </c>
      <c r="B10" s="57" t="s">
        <v>475</v>
      </c>
      <c r="C10" s="12" t="s">
        <v>70</v>
      </c>
      <c r="E10" s="13">
        <f>IS!E35</f>
        <v>1</v>
      </c>
      <c r="F10" s="13">
        <f>IS!F35</f>
        <v>-23</v>
      </c>
      <c r="G10" s="13">
        <f>IS!G35</f>
        <v>-54</v>
      </c>
      <c r="H10" s="13">
        <f>IS!H35</f>
        <v>-98</v>
      </c>
      <c r="I10" s="13">
        <f>IS!I35</f>
        <v>-100</v>
      </c>
      <c r="J10" s="13">
        <f>IS!J35</f>
        <v>-81</v>
      </c>
      <c r="K10" s="13">
        <f>IS!K35</f>
        <v>-98</v>
      </c>
      <c r="L10" s="13">
        <f>IS!L35</f>
        <v>-31</v>
      </c>
      <c r="M10" s="13">
        <f>IS!M35</f>
        <v>-36</v>
      </c>
      <c r="N10" s="13">
        <f>IS!N35</f>
        <v>-83</v>
      </c>
      <c r="O10" s="13">
        <f>IS!O35</f>
        <v>14</v>
      </c>
      <c r="P10" s="13">
        <f>IS!P35</f>
        <v>56</v>
      </c>
      <c r="Q10" s="13">
        <f>IS!Q35</f>
        <v>32</v>
      </c>
      <c r="R10" s="13">
        <f>IS!R35</f>
        <v>56</v>
      </c>
      <c r="S10" s="13">
        <f>IS!S35</f>
        <v>80</v>
      </c>
      <c r="T10" s="13">
        <f>IS!T35</f>
        <v>105</v>
      </c>
      <c r="U10" s="13">
        <f>IS!U35</f>
        <v>101</v>
      </c>
      <c r="V10" s="13">
        <f>IS!V35</f>
        <v>126</v>
      </c>
      <c r="W10" s="13">
        <f>IS!W35</f>
        <v>154</v>
      </c>
      <c r="X10" s="13">
        <f>IS!X35</f>
        <v>163.12008250873131</v>
      </c>
      <c r="Y10" s="13">
        <f>IS!Y35</f>
        <v>156.07607357901969</v>
      </c>
      <c r="Z10" s="13">
        <f>IS!Z35</f>
        <v>176.02518159948025</v>
      </c>
      <c r="AA10" s="13">
        <f>IS!AA35</f>
        <v>199.56963544416919</v>
      </c>
      <c r="AB10" s="13">
        <f>IS!AB35</f>
        <v>228.24390067287962</v>
      </c>
      <c r="AC10" s="13">
        <f>IS!AC35</f>
        <v>217.22026700675531</v>
      </c>
      <c r="AD10" s="13">
        <f>IS!AD35</f>
        <v>236.1485062422166</v>
      </c>
      <c r="AE10" s="13">
        <f>IS!AE35</f>
        <v>265.20225792722994</v>
      </c>
      <c r="AF10" s="13">
        <f>IS!AF35</f>
        <v>294.39260657875053</v>
      </c>
      <c r="AG10" s="13">
        <f>IS!AG35</f>
        <v>279.02465536468367</v>
      </c>
      <c r="AH10" s="13">
        <f>IS!AH35</f>
        <v>294.79116054598541</v>
      </c>
      <c r="AI10" s="13">
        <f>IS!AI35</f>
        <v>329.11638678993222</v>
      </c>
      <c r="AJ10" s="13">
        <f>IS!AJ35</f>
        <v>358.70544031062946</v>
      </c>
      <c r="AK10" s="13">
        <f>IS!AK35</f>
        <v>339.06669824677556</v>
      </c>
    </row>
    <row r="11" spans="1:37" x14ac:dyDescent="0.45">
      <c r="A11" s="12" t="s">
        <v>501</v>
      </c>
      <c r="B11" s="57" t="s">
        <v>502</v>
      </c>
      <c r="C11" s="12" t="s">
        <v>70</v>
      </c>
      <c r="E11" s="13">
        <f>IS!E50</f>
        <v>5</v>
      </c>
      <c r="F11" s="13">
        <f>IS!F50</f>
        <v>6</v>
      </c>
      <c r="G11" s="13">
        <f>IS!G50</f>
        <v>6</v>
      </c>
      <c r="H11" s="13">
        <f>IS!H50</f>
        <v>6</v>
      </c>
      <c r="I11" s="13">
        <f>IS!I50</f>
        <v>6</v>
      </c>
      <c r="J11" s="13">
        <f>IS!J50</f>
        <v>6</v>
      </c>
      <c r="K11" s="13">
        <f>IS!K50</f>
        <v>8</v>
      </c>
      <c r="L11" s="13">
        <f>IS!L50</f>
        <v>8</v>
      </c>
      <c r="M11" s="13">
        <f>IS!M50</f>
        <v>10</v>
      </c>
      <c r="N11" s="13">
        <f>IS!N50</f>
        <v>11</v>
      </c>
      <c r="O11" s="13">
        <f>IS!O50</f>
        <v>12</v>
      </c>
      <c r="P11" s="13">
        <f>IS!P50</f>
        <v>12</v>
      </c>
      <c r="Q11" s="13">
        <f>IS!Q50</f>
        <v>11</v>
      </c>
      <c r="R11" s="13">
        <f>IS!R50</f>
        <v>19</v>
      </c>
      <c r="S11" s="13">
        <f>IS!S50</f>
        <v>16</v>
      </c>
      <c r="T11" s="13">
        <f>IS!T50</f>
        <v>13</v>
      </c>
      <c r="U11" s="13">
        <f>IS!U50</f>
        <v>16</v>
      </c>
      <c r="V11" s="13">
        <f>IS!V50</f>
        <v>10</v>
      </c>
      <c r="W11" s="13">
        <f>IS!W50</f>
        <v>12</v>
      </c>
      <c r="X11" s="13">
        <f>IS!X50</f>
        <v>15.154999999999999</v>
      </c>
      <c r="Y11" s="13">
        <f>IS!Y50</f>
        <v>15.413901994546874</v>
      </c>
      <c r="Z11" s="13">
        <f>IS!Z50</f>
        <v>15.64057712397242</v>
      </c>
      <c r="AA11" s="13">
        <f>IS!AA50</f>
        <v>15.828158241372277</v>
      </c>
      <c r="AB11" s="13">
        <f>IS!AB50</f>
        <v>16.258898091243836</v>
      </c>
      <c r="AC11" s="13">
        <f>IS!AC50</f>
        <v>16.712546854210984</v>
      </c>
      <c r="AD11" s="13">
        <f>IS!AD50</f>
        <v>17.103942616792605</v>
      </c>
      <c r="AE11" s="13">
        <f>IS!AE50</f>
        <v>17.431415944208876</v>
      </c>
      <c r="AF11" s="13">
        <f>IS!AF50</f>
        <v>18.02058293534628</v>
      </c>
      <c r="AG11" s="13">
        <f>IS!AG50</f>
        <v>18.617059637542553</v>
      </c>
      <c r="AH11" s="13">
        <f>IS!AH50</f>
        <v>19.12371303856537</v>
      </c>
      <c r="AI11" s="13">
        <f>IS!AI50</f>
        <v>19.541667398047615</v>
      </c>
      <c r="AJ11" s="13">
        <f>IS!AJ50</f>
        <v>20.244772850135526</v>
      </c>
      <c r="AK11" s="13">
        <f>IS!AK50</f>
        <v>20.943744469854959</v>
      </c>
    </row>
    <row r="12" spans="1:37" x14ac:dyDescent="0.45">
      <c r="A12" s="12" t="s">
        <v>503</v>
      </c>
      <c r="B12" s="57" t="s">
        <v>504</v>
      </c>
      <c r="C12" s="12" t="s">
        <v>70</v>
      </c>
      <c r="E12" s="13">
        <f>IS!E51</f>
        <v>45</v>
      </c>
      <c r="F12" s="13">
        <f>IS!F51</f>
        <v>53</v>
      </c>
      <c r="G12" s="13">
        <f>IS!G51</f>
        <v>57</v>
      </c>
      <c r="H12" s="13">
        <f>IS!H51</f>
        <v>57</v>
      </c>
      <c r="I12" s="13">
        <f>IS!I51</f>
        <v>61</v>
      </c>
      <c r="J12" s="13">
        <f>IS!J51</f>
        <v>63</v>
      </c>
      <c r="K12" s="13">
        <f>IS!K51</f>
        <v>72</v>
      </c>
      <c r="L12" s="13">
        <f>IS!L51</f>
        <v>71</v>
      </c>
      <c r="M12" s="13">
        <f>IS!M51</f>
        <v>71</v>
      </c>
      <c r="N12" s="13">
        <f>IS!N51</f>
        <v>66</v>
      </c>
      <c r="O12" s="13">
        <f>IS!O51</f>
        <v>67</v>
      </c>
      <c r="P12" s="13">
        <f>IS!P51</f>
        <v>60</v>
      </c>
      <c r="Q12" s="13">
        <f>IS!Q51</f>
        <v>60</v>
      </c>
      <c r="R12" s="13">
        <f>IS!R51</f>
        <v>60</v>
      </c>
      <c r="S12" s="13">
        <f>IS!S51</f>
        <v>60</v>
      </c>
      <c r="T12" s="13">
        <f>IS!T51</f>
        <v>66</v>
      </c>
      <c r="U12" s="13">
        <f>IS!U51</f>
        <v>56</v>
      </c>
      <c r="V12" s="13">
        <f>IS!V51</f>
        <v>54</v>
      </c>
      <c r="W12" s="13">
        <f>IS!W51</f>
        <v>55</v>
      </c>
      <c r="X12" s="13">
        <f>IS!X51</f>
        <v>62.577628759191136</v>
      </c>
      <c r="Y12" s="13">
        <f>IS!Y51</f>
        <v>61.516533560294107</v>
      </c>
      <c r="Z12" s="13">
        <f>IS!Z51</f>
        <v>57.356026822651451</v>
      </c>
      <c r="AA12" s="13">
        <f>IS!AA51</f>
        <v>64.052254107692292</v>
      </c>
      <c r="AB12" s="13">
        <f>IS!AB51</f>
        <v>68.246784438011559</v>
      </c>
      <c r="AC12" s="13">
        <f>IS!AC51</f>
        <v>66.797122242796874</v>
      </c>
      <c r="AD12" s="13">
        <f>IS!AD51</f>
        <v>64.74450404570149</v>
      </c>
      <c r="AE12" s="13">
        <f>IS!AE51</f>
        <v>71.85555989809113</v>
      </c>
      <c r="AF12" s="13">
        <f>IS!AF51</f>
        <v>76.092994334127425</v>
      </c>
      <c r="AG12" s="13">
        <f>IS!AG51</f>
        <v>74.165914965984356</v>
      </c>
      <c r="AH12" s="13">
        <f>IS!AH51</f>
        <v>70.976409285915594</v>
      </c>
      <c r="AI12" s="13">
        <f>IS!AI51</f>
        <v>78.411238756854402</v>
      </c>
      <c r="AJ12" s="13">
        <f>IS!AJ51</f>
        <v>82.646502598689764</v>
      </c>
      <c r="AK12" s="13">
        <f>IS!AK51</f>
        <v>80.293274659549766</v>
      </c>
    </row>
    <row r="13" spans="1:37" x14ac:dyDescent="0.45">
      <c r="A13" s="12" t="s">
        <v>575</v>
      </c>
      <c r="B13" s="57" t="s">
        <v>576</v>
      </c>
      <c r="C13" s="12" t="s">
        <v>70</v>
      </c>
      <c r="E13" s="13">
        <f>Hist_Q!E41-E10-E11-E12</f>
        <v>-82</v>
      </c>
      <c r="F13" s="13">
        <f>Hist_Q!F41-F10-F11-F12</f>
        <v>-83</v>
      </c>
      <c r="G13" s="13">
        <f>Hist_Q!G41-G10-G11-G12</f>
        <v>-30</v>
      </c>
      <c r="H13" s="13">
        <f>Hist_Q!H41-H10-H11-H12</f>
        <v>-34</v>
      </c>
      <c r="I13" s="13">
        <f>Hist_Q!I41-I10-I11-I12</f>
        <v>14</v>
      </c>
      <c r="J13" s="13">
        <f>Hist_Q!J41-J10-J11-J12</f>
        <v>-43</v>
      </c>
      <c r="K13" s="13">
        <f>Hist_Q!K41-K10-K11-K12</f>
        <v>68</v>
      </c>
      <c r="L13" s="13">
        <f>Hist_Q!L41-L10-L11-L12</f>
        <v>0</v>
      </c>
      <c r="M13" s="13">
        <f>Hist_Q!M41-M10-M11-M12</f>
        <v>47</v>
      </c>
      <c r="N13" s="13">
        <f>Hist_Q!N41-N10-N11-N12</f>
        <v>-14</v>
      </c>
      <c r="O13" s="13">
        <f>Hist_Q!O41-O10-O11-O12</f>
        <v>31</v>
      </c>
      <c r="P13" s="13">
        <f>Hist_Q!P41-P10-P11-P12</f>
        <v>-19</v>
      </c>
      <c r="Q13" s="13">
        <f>Hist_Q!Q41-Q10-Q11-Q12</f>
        <v>44</v>
      </c>
      <c r="R13" s="13">
        <f>Hist_Q!R41-R10-R11-R12</f>
        <v>-56</v>
      </c>
      <c r="S13" s="13">
        <f>Hist_Q!S41-S10-S11-S12</f>
        <v>67</v>
      </c>
      <c r="T13" s="13">
        <f>Hist_Q!T41-T10-T11-T12</f>
        <v>-19</v>
      </c>
      <c r="U13" s="13">
        <f>Hist_Q!U41-U10-U11-U12</f>
        <v>21</v>
      </c>
      <c r="V13" s="13">
        <f>Hist_Q!V41-V10-V11-V12</f>
        <v>-58</v>
      </c>
      <c r="W13" s="13">
        <f>Hist_Q!W41-W10-W11-W12</f>
        <v>-77</v>
      </c>
      <c r="X13" s="13">
        <f>Schedules!X32</f>
        <v>41.587226794997036</v>
      </c>
      <c r="Y13" s="13">
        <f>Schedules!Y32</f>
        <v>0.67717324299528059</v>
      </c>
      <c r="Z13" s="13">
        <f>Schedules!Z32</f>
        <v>35.689052528318058</v>
      </c>
      <c r="AA13" s="13">
        <f>Schedules!AA32</f>
        <v>48.164730537565447</v>
      </c>
      <c r="AB13" s="13">
        <f>Schedules!AB32</f>
        <v>19.913637489130451</v>
      </c>
      <c r="AC13" s="13">
        <f>Schedules!AC32</f>
        <v>1.3640881608231439</v>
      </c>
      <c r="AD13" s="13">
        <f>Schedules!AD32</f>
        <v>15.086849277228225</v>
      </c>
      <c r="AE13" s="13">
        <f>Schedules!AE32</f>
        <v>62.176188682511793</v>
      </c>
      <c r="AF13" s="13">
        <f>Schedules!AF32</f>
        <v>13.860495008224234</v>
      </c>
      <c r="AG13" s="13">
        <f>Schedules!AG32</f>
        <v>0.82553187177023801</v>
      </c>
      <c r="AH13" s="13">
        <f>Schedules!AH32</f>
        <v>-17.175404217085941</v>
      </c>
      <c r="AI13" s="13">
        <f>Schedules!AI32</f>
        <v>74.492448838498319</v>
      </c>
      <c r="AJ13" s="13">
        <f>Schedules!AJ32</f>
        <v>11.660885163627654</v>
      </c>
      <c r="AK13" s="13">
        <f>Schedules!AK32</f>
        <v>-0.82410404589194286</v>
      </c>
    </row>
    <row r="14" spans="1:37" x14ac:dyDescent="0.45">
      <c r="A14" s="12" t="s">
        <v>577</v>
      </c>
      <c r="B14" s="4" t="s">
        <v>578</v>
      </c>
      <c r="C14" s="12" t="s">
        <v>70</v>
      </c>
      <c r="E14" s="56">
        <f t="shared" ref="E14:AK14" si="0">SUM(E10:E13)</f>
        <v>-31</v>
      </c>
      <c r="F14" s="56">
        <f t="shared" si="0"/>
        <v>-47</v>
      </c>
      <c r="G14" s="56">
        <f t="shared" si="0"/>
        <v>-21</v>
      </c>
      <c r="H14" s="56">
        <f t="shared" si="0"/>
        <v>-69</v>
      </c>
      <c r="I14" s="56">
        <f t="shared" si="0"/>
        <v>-19</v>
      </c>
      <c r="J14" s="56">
        <f t="shared" si="0"/>
        <v>-55</v>
      </c>
      <c r="K14" s="56">
        <f t="shared" si="0"/>
        <v>50</v>
      </c>
      <c r="L14" s="56">
        <f t="shared" si="0"/>
        <v>48</v>
      </c>
      <c r="M14" s="56">
        <f t="shared" si="0"/>
        <v>92</v>
      </c>
      <c r="N14" s="56">
        <f t="shared" si="0"/>
        <v>-20</v>
      </c>
      <c r="O14" s="56">
        <f t="shared" si="0"/>
        <v>124</v>
      </c>
      <c r="P14" s="56">
        <f t="shared" si="0"/>
        <v>109</v>
      </c>
      <c r="Q14" s="56">
        <f t="shared" si="0"/>
        <v>147</v>
      </c>
      <c r="R14" s="56">
        <f t="shared" si="0"/>
        <v>79</v>
      </c>
      <c r="S14" s="56">
        <f t="shared" si="0"/>
        <v>223</v>
      </c>
      <c r="T14" s="56">
        <f t="shared" si="0"/>
        <v>165</v>
      </c>
      <c r="U14" s="56">
        <f t="shared" si="0"/>
        <v>194</v>
      </c>
      <c r="V14" s="56">
        <f t="shared" si="0"/>
        <v>132</v>
      </c>
      <c r="W14" s="56">
        <f t="shared" si="0"/>
        <v>144</v>
      </c>
      <c r="X14" s="56">
        <f t="shared" si="0"/>
        <v>282.43993806291951</v>
      </c>
      <c r="Y14" s="56">
        <f t="shared" si="0"/>
        <v>233.68368237685596</v>
      </c>
      <c r="Z14" s="56">
        <f t="shared" si="0"/>
        <v>284.71083807442216</v>
      </c>
      <c r="AA14" s="56">
        <f t="shared" si="0"/>
        <v>327.6147783307992</v>
      </c>
      <c r="AB14" s="56">
        <f t="shared" si="0"/>
        <v>332.66322069126545</v>
      </c>
      <c r="AC14" s="56">
        <f t="shared" si="0"/>
        <v>302.09402426458632</v>
      </c>
      <c r="AD14" s="56">
        <f t="shared" si="0"/>
        <v>333.08380218193895</v>
      </c>
      <c r="AE14" s="56">
        <f t="shared" si="0"/>
        <v>416.66542245204175</v>
      </c>
      <c r="AF14" s="56">
        <f t="shared" si="0"/>
        <v>402.36667885644846</v>
      </c>
      <c r="AG14" s="56">
        <f t="shared" si="0"/>
        <v>372.6331618399808</v>
      </c>
      <c r="AH14" s="56">
        <f t="shared" si="0"/>
        <v>367.71587865338046</v>
      </c>
      <c r="AI14" s="56">
        <f t="shared" si="0"/>
        <v>501.56174178333254</v>
      </c>
      <c r="AJ14" s="56">
        <f t="shared" si="0"/>
        <v>473.25760092308241</v>
      </c>
      <c r="AK14" s="56">
        <f t="shared" si="0"/>
        <v>439.47961333028832</v>
      </c>
    </row>
    <row r="15" spans="1:37" x14ac:dyDescent="0.45">
      <c r="A15" s="21"/>
      <c r="B15" s="22" t="s">
        <v>579</v>
      </c>
      <c r="C15" s="21"/>
      <c r="D15" s="21"/>
      <c r="E15" s="21"/>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row>
    <row r="16" spans="1:37" x14ac:dyDescent="0.45">
      <c r="A16" s="12" t="s">
        <v>580</v>
      </c>
      <c r="B16" s="57" t="s">
        <v>581</v>
      </c>
      <c r="C16" s="12" t="s">
        <v>70</v>
      </c>
      <c r="E16" s="13">
        <f>-Hist_Q!E42</f>
        <v>-3</v>
      </c>
      <c r="F16" s="13">
        <f>-Hist_Q!F42</f>
        <v>-3</v>
      </c>
      <c r="G16" s="13">
        <f>-Hist_Q!G42</f>
        <v>-9</v>
      </c>
      <c r="H16" s="13">
        <f>-Hist_Q!H42</f>
        <v>-11</v>
      </c>
      <c r="I16" s="13">
        <f>-Hist_Q!I42</f>
        <v>-10</v>
      </c>
      <c r="J16" s="13">
        <f>-Hist_Q!J42</f>
        <v>-10</v>
      </c>
      <c r="K16" s="13">
        <f>-Hist_Q!K42</f>
        <v>-11</v>
      </c>
      <c r="L16" s="13">
        <f>-Hist_Q!L42</f>
        <v>-10</v>
      </c>
      <c r="M16" s="13">
        <f>-Hist_Q!M42</f>
        <v>-11</v>
      </c>
      <c r="N16" s="13">
        <f>-Hist_Q!N42</f>
        <v>-13</v>
      </c>
      <c r="O16" s="13">
        <f>-Hist_Q!O42</f>
        <v>-16</v>
      </c>
      <c r="P16" s="13">
        <f>-Hist_Q!P42</f>
        <v>-12</v>
      </c>
      <c r="Q16" s="13">
        <f>-Hist_Q!Q42</f>
        <v>-13</v>
      </c>
      <c r="R16" s="13">
        <f>-Hist_Q!R42</f>
        <v>-10</v>
      </c>
      <c r="S16" s="13">
        <f>-Hist_Q!S42</f>
        <v>-15</v>
      </c>
      <c r="T16" s="13">
        <f>-Hist_Q!T42</f>
        <v>-12</v>
      </c>
      <c r="U16" s="13">
        <f>-Hist_Q!U42</f>
        <v>-16</v>
      </c>
      <c r="V16" s="13">
        <f>-Hist_Q!V42</f>
        <v>-17</v>
      </c>
      <c r="W16" s="13">
        <f>-Hist_Q!W42</f>
        <v>-14</v>
      </c>
      <c r="X16" s="13">
        <f>-Schedules!X35</f>
        <v>-16.880284153125</v>
      </c>
      <c r="Y16" s="13">
        <f>-Schedules!Y35</f>
        <v>-16.799955988499999</v>
      </c>
      <c r="Z16" s="13">
        <f>-Schedules!Z35</f>
        <v>-16.615115201865674</v>
      </c>
      <c r="AA16" s="13">
        <f>-Schedules!AA35</f>
        <v>-19.362261924230769</v>
      </c>
      <c r="AB16" s="13">
        <f>-Schedules!AB35</f>
        <v>-20.034148227740129</v>
      </c>
      <c r="AC16" s="13">
        <f>-Schedules!AC35</f>
        <v>-19.832502249807032</v>
      </c>
      <c r="AD16" s="13">
        <f>-Schedules!AD35</f>
        <v>-19.551030273805974</v>
      </c>
      <c r="AE16" s="13">
        <f>-Schedules!AE35</f>
        <v>-22.633173745655267</v>
      </c>
      <c r="AF16" s="13">
        <f>-Schedules!AF35</f>
        <v>-23.299285063728121</v>
      </c>
      <c r="AG16" s="13">
        <f>-Schedules!AG35</f>
        <v>-22.95025333251953</v>
      </c>
      <c r="AH16" s="13">
        <f>-Schedules!AH35</f>
        <v>-22.523232612062682</v>
      </c>
      <c r="AI16" s="13">
        <f>-Schedules!AI35</f>
        <v>-25.942777420025639</v>
      </c>
      <c r="AJ16" s="13">
        <f>-Schedules!AJ35</f>
        <v>-26.602368847182195</v>
      </c>
      <c r="AK16" s="13">
        <f>-Schedules!AK35</f>
        <v>-26.104383246474281</v>
      </c>
    </row>
    <row r="17" spans="1:37" x14ac:dyDescent="0.45">
      <c r="A17" s="12" t="s">
        <v>582</v>
      </c>
      <c r="B17" s="57" t="s">
        <v>583</v>
      </c>
      <c r="C17" s="12" t="s">
        <v>70</v>
      </c>
      <c r="E17" s="13">
        <f>Hist_Q!E43+Hist_Q!E42</f>
        <v>-458</v>
      </c>
      <c r="F17" s="13">
        <f>Hist_Q!F43+Hist_Q!F42</f>
        <v>0</v>
      </c>
      <c r="G17" s="13">
        <f>Hist_Q!G43+Hist_Q!G42</f>
        <v>-30</v>
      </c>
      <c r="H17" s="13">
        <f>Hist_Q!H43+Hist_Q!H42</f>
        <v>28</v>
      </c>
      <c r="I17" s="13">
        <f>Hist_Q!I43+Hist_Q!I42</f>
        <v>-63</v>
      </c>
      <c r="J17" s="13">
        <f>Hist_Q!J43+Hist_Q!J42</f>
        <v>-32</v>
      </c>
      <c r="K17" s="13">
        <f>Hist_Q!K43+Hist_Q!K42</f>
        <v>-1</v>
      </c>
      <c r="L17" s="13">
        <f>Hist_Q!L43+Hist_Q!L42</f>
        <v>-21</v>
      </c>
      <c r="M17" s="13">
        <f>Hist_Q!M43+Hist_Q!M42</f>
        <v>10</v>
      </c>
      <c r="N17" s="13">
        <f>Hist_Q!N43+Hist_Q!N42</f>
        <v>-16</v>
      </c>
      <c r="O17" s="13">
        <f>Hist_Q!O43+Hist_Q!O42</f>
        <v>12</v>
      </c>
      <c r="P17" s="13">
        <f>Hist_Q!P43+Hist_Q!P42</f>
        <v>21</v>
      </c>
      <c r="Q17" s="13">
        <f>Hist_Q!Q43+Hist_Q!Q42</f>
        <v>-2</v>
      </c>
      <c r="R17" s="13">
        <f>Hist_Q!R43+Hist_Q!R42</f>
        <v>32</v>
      </c>
      <c r="S17" s="13">
        <f>Hist_Q!S43+Hist_Q!S42</f>
        <v>-23</v>
      </c>
      <c r="T17" s="13">
        <f>Hist_Q!T43+Hist_Q!T42</f>
        <v>8</v>
      </c>
      <c r="U17" s="13">
        <f>Hist_Q!U43+Hist_Q!U42</f>
        <v>-136</v>
      </c>
      <c r="V17" s="13">
        <f>Hist_Q!V43+Hist_Q!V42</f>
        <v>-58</v>
      </c>
      <c r="W17" s="13">
        <f>Hist_Q!W43+Hist_Q!W42</f>
        <v>-53</v>
      </c>
      <c r="X17" s="13">
        <f>-Schedules!X46</f>
        <v>0</v>
      </c>
      <c r="Y17" s="13">
        <f>-Schedules!Y46</f>
        <v>0</v>
      </c>
      <c r="Z17" s="13">
        <f>-Schedules!Z46</f>
        <v>0</v>
      </c>
      <c r="AA17" s="13">
        <f>-Schedules!AA46</f>
        <v>0</v>
      </c>
      <c r="AB17" s="13">
        <f>-Schedules!AB46</f>
        <v>0</v>
      </c>
      <c r="AC17" s="13">
        <f>-Schedules!AC46</f>
        <v>0</v>
      </c>
      <c r="AD17" s="13">
        <f>-Schedules!AD46</f>
        <v>0</v>
      </c>
      <c r="AE17" s="13">
        <f>-Schedules!AE46</f>
        <v>0</v>
      </c>
      <c r="AF17" s="13">
        <f>-Schedules!AF46</f>
        <v>0</v>
      </c>
      <c r="AG17" s="13">
        <f>-Schedules!AG46</f>
        <v>0</v>
      </c>
      <c r="AH17" s="13">
        <f>-Schedules!AH46</f>
        <v>0</v>
      </c>
      <c r="AI17" s="13">
        <f>-Schedules!AI46</f>
        <v>0</v>
      </c>
      <c r="AJ17" s="13">
        <f>-Schedules!AJ46</f>
        <v>0</v>
      </c>
      <c r="AK17" s="13">
        <f>-Schedules!AK46</f>
        <v>0</v>
      </c>
    </row>
    <row r="18" spans="1:37" x14ac:dyDescent="0.45">
      <c r="A18" s="12" t="s">
        <v>584</v>
      </c>
      <c r="B18" s="4" t="s">
        <v>585</v>
      </c>
      <c r="C18" s="12" t="s">
        <v>70</v>
      </c>
      <c r="E18" s="56">
        <f t="shared" ref="E18:AK18" si="1">E16+E17</f>
        <v>-461</v>
      </c>
      <c r="F18" s="56">
        <f t="shared" si="1"/>
        <v>-3</v>
      </c>
      <c r="G18" s="56">
        <f t="shared" si="1"/>
        <v>-39</v>
      </c>
      <c r="H18" s="56">
        <f t="shared" si="1"/>
        <v>17</v>
      </c>
      <c r="I18" s="56">
        <f t="shared" si="1"/>
        <v>-73</v>
      </c>
      <c r="J18" s="56">
        <f t="shared" si="1"/>
        <v>-42</v>
      </c>
      <c r="K18" s="56">
        <f t="shared" si="1"/>
        <v>-12</v>
      </c>
      <c r="L18" s="56">
        <f t="shared" si="1"/>
        <v>-31</v>
      </c>
      <c r="M18" s="56">
        <f t="shared" si="1"/>
        <v>-1</v>
      </c>
      <c r="N18" s="56">
        <f t="shared" si="1"/>
        <v>-29</v>
      </c>
      <c r="O18" s="56">
        <f t="shared" si="1"/>
        <v>-4</v>
      </c>
      <c r="P18" s="56">
        <f t="shared" si="1"/>
        <v>9</v>
      </c>
      <c r="Q18" s="56">
        <f t="shared" si="1"/>
        <v>-15</v>
      </c>
      <c r="R18" s="56">
        <f t="shared" si="1"/>
        <v>22</v>
      </c>
      <c r="S18" s="56">
        <f t="shared" si="1"/>
        <v>-38</v>
      </c>
      <c r="T18" s="56">
        <f t="shared" si="1"/>
        <v>-4</v>
      </c>
      <c r="U18" s="56">
        <f t="shared" si="1"/>
        <v>-152</v>
      </c>
      <c r="V18" s="56">
        <f t="shared" si="1"/>
        <v>-75</v>
      </c>
      <c r="W18" s="56">
        <f t="shared" si="1"/>
        <v>-67</v>
      </c>
      <c r="X18" s="56">
        <f t="shared" si="1"/>
        <v>-16.880284153125</v>
      </c>
      <c r="Y18" s="56">
        <f t="shared" si="1"/>
        <v>-16.799955988499999</v>
      </c>
      <c r="Z18" s="56">
        <f t="shared" si="1"/>
        <v>-16.615115201865674</v>
      </c>
      <c r="AA18" s="56">
        <f t="shared" si="1"/>
        <v>-19.362261924230769</v>
      </c>
      <c r="AB18" s="56">
        <f t="shared" si="1"/>
        <v>-20.034148227740129</v>
      </c>
      <c r="AC18" s="56">
        <f t="shared" si="1"/>
        <v>-19.832502249807032</v>
      </c>
      <c r="AD18" s="56">
        <f t="shared" si="1"/>
        <v>-19.551030273805974</v>
      </c>
      <c r="AE18" s="56">
        <f t="shared" si="1"/>
        <v>-22.633173745655267</v>
      </c>
      <c r="AF18" s="56">
        <f t="shared" si="1"/>
        <v>-23.299285063728121</v>
      </c>
      <c r="AG18" s="56">
        <f t="shared" si="1"/>
        <v>-22.95025333251953</v>
      </c>
      <c r="AH18" s="56">
        <f t="shared" si="1"/>
        <v>-22.523232612062682</v>
      </c>
      <c r="AI18" s="56">
        <f t="shared" si="1"/>
        <v>-25.942777420025639</v>
      </c>
      <c r="AJ18" s="56">
        <f t="shared" si="1"/>
        <v>-26.602368847182195</v>
      </c>
      <c r="AK18" s="56">
        <f t="shared" si="1"/>
        <v>-26.104383246474281</v>
      </c>
    </row>
    <row r="19" spans="1:37" x14ac:dyDescent="0.45">
      <c r="A19" s="21"/>
      <c r="B19" s="22" t="s">
        <v>586</v>
      </c>
      <c r="C19" s="21"/>
      <c r="D19" s="21"/>
      <c r="E19" s="21"/>
      <c r="F19" s="21"/>
      <c r="G19" s="21"/>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row>
    <row r="20" spans="1:37" x14ac:dyDescent="0.45">
      <c r="A20" s="12" t="s">
        <v>587</v>
      </c>
      <c r="B20" s="57" t="s">
        <v>588</v>
      </c>
      <c r="C20" s="12" t="s">
        <v>70</v>
      </c>
      <c r="E20" s="13">
        <f>-Hist_Q!E44</f>
        <v>0</v>
      </c>
      <c r="F20" s="13">
        <f>-Hist_Q!F44</f>
        <v>0</v>
      </c>
      <c r="G20" s="13">
        <f>-Hist_Q!G44</f>
        <v>0</v>
      </c>
      <c r="H20" s="13">
        <f>-Hist_Q!H44</f>
        <v>0</v>
      </c>
      <c r="I20" s="13">
        <f>-Hist_Q!I44</f>
        <v>0</v>
      </c>
      <c r="J20" s="13">
        <f>-Hist_Q!J44</f>
        <v>0</v>
      </c>
      <c r="K20" s="13">
        <f>-Hist_Q!K44</f>
        <v>0</v>
      </c>
      <c r="L20" s="13">
        <f>-Hist_Q!L44</f>
        <v>0</v>
      </c>
      <c r="M20" s="13">
        <f>-Hist_Q!M44</f>
        <v>0</v>
      </c>
      <c r="N20" s="13">
        <f>-Hist_Q!N44</f>
        <v>-4</v>
      </c>
      <c r="O20" s="13">
        <f>-Hist_Q!O44</f>
        <v>-32</v>
      </c>
      <c r="P20" s="13">
        <f>-Hist_Q!P44</f>
        <v>-20</v>
      </c>
      <c r="Q20" s="13">
        <f>-Hist_Q!Q44</f>
        <v>0</v>
      </c>
      <c r="R20" s="13">
        <f>-Hist_Q!R44</f>
        <v>-17</v>
      </c>
      <c r="S20" s="13">
        <f>-Hist_Q!S44</f>
        <v>-14</v>
      </c>
      <c r="T20" s="13">
        <f>-Hist_Q!T44</f>
        <v>-23</v>
      </c>
      <c r="U20" s="13">
        <f>-Hist_Q!U44</f>
        <v>-53</v>
      </c>
      <c r="V20" s="13">
        <f>-Hist_Q!V44</f>
        <v>-323</v>
      </c>
      <c r="W20" s="13">
        <f>-Hist_Q!W44</f>
        <v>-163</v>
      </c>
      <c r="X20" s="13">
        <f>-Drivers!X42</f>
        <v>-150</v>
      </c>
      <c r="Y20" s="13">
        <f>-Drivers!Y42</f>
        <v>-150</v>
      </c>
      <c r="Z20" s="13">
        <f>-Drivers!Z42</f>
        <v>-150</v>
      </c>
      <c r="AA20" s="13">
        <f>-Drivers!AA42</f>
        <v>-150</v>
      </c>
      <c r="AB20" s="13">
        <f>-Drivers!AB42</f>
        <v>-150</v>
      </c>
      <c r="AC20" s="13">
        <f>-Drivers!AC42</f>
        <v>-150</v>
      </c>
      <c r="AD20" s="13">
        <f>-Drivers!AD42</f>
        <v>-150</v>
      </c>
      <c r="AE20" s="13">
        <f>-Drivers!AE42</f>
        <v>-150</v>
      </c>
      <c r="AF20" s="13">
        <f>-Drivers!AF42</f>
        <v>-150</v>
      </c>
      <c r="AG20" s="13">
        <f>-Drivers!AG42</f>
        <v>-150</v>
      </c>
      <c r="AH20" s="13">
        <f>-Drivers!AH42</f>
        <v>-150</v>
      </c>
      <c r="AI20" s="13">
        <f>-Drivers!AI42</f>
        <v>-150</v>
      </c>
      <c r="AJ20" s="13">
        <f>-Drivers!AJ42</f>
        <v>-150</v>
      </c>
      <c r="AK20" s="13">
        <f>-Drivers!AK42</f>
        <v>-150</v>
      </c>
    </row>
    <row r="21" spans="1:37" x14ac:dyDescent="0.45">
      <c r="A21" s="12" t="s">
        <v>589</v>
      </c>
      <c r="B21" s="57" t="s">
        <v>590</v>
      </c>
      <c r="C21" s="12" t="s">
        <v>70</v>
      </c>
      <c r="E21" s="13">
        <f>Hist_Q!E45+Hist_Q!E44</f>
        <v>3</v>
      </c>
      <c r="F21" s="13">
        <f>Hist_Q!F45+Hist_Q!F44</f>
        <v>29</v>
      </c>
      <c r="G21" s="13">
        <f>Hist_Q!G45+Hist_Q!G44</f>
        <v>13</v>
      </c>
      <c r="H21" s="13">
        <f>Hist_Q!H45+Hist_Q!H44</f>
        <v>-6</v>
      </c>
      <c r="I21" s="13">
        <f>Hist_Q!I45+Hist_Q!I44</f>
        <v>2</v>
      </c>
      <c r="J21" s="13">
        <f>Hist_Q!J45+Hist_Q!J44</f>
        <v>48</v>
      </c>
      <c r="K21" s="13">
        <f>Hist_Q!K45+Hist_Q!K44</f>
        <v>-2</v>
      </c>
      <c r="L21" s="13">
        <f>Hist_Q!L45+Hist_Q!L44</f>
        <v>12</v>
      </c>
      <c r="M21" s="13">
        <f>Hist_Q!M45+Hist_Q!M44</f>
        <v>5</v>
      </c>
      <c r="N21" s="13">
        <f>Hist_Q!N45+Hist_Q!N44</f>
        <v>77</v>
      </c>
      <c r="O21" s="13">
        <f>Hist_Q!O45+Hist_Q!O44</f>
        <v>6</v>
      </c>
      <c r="P21" s="13">
        <f>Hist_Q!P45+Hist_Q!P44</f>
        <v>-20</v>
      </c>
      <c r="Q21" s="13">
        <f>Hist_Q!Q45+Hist_Q!Q44</f>
        <v>11</v>
      </c>
      <c r="R21" s="13">
        <f>Hist_Q!R45+Hist_Q!R44</f>
        <v>90</v>
      </c>
      <c r="S21" s="13">
        <f>Hist_Q!S45+Hist_Q!S44</f>
        <v>-8</v>
      </c>
      <c r="T21" s="13">
        <f>Hist_Q!T45+Hist_Q!T44</f>
        <v>42</v>
      </c>
      <c r="U21" s="13">
        <f>Hist_Q!U45+Hist_Q!U44</f>
        <v>-10</v>
      </c>
      <c r="V21" s="13">
        <f>Hist_Q!V45+Hist_Q!V44</f>
        <v>96</v>
      </c>
      <c r="W21" s="13">
        <f>Hist_Q!W45+Hist_Q!W44</f>
        <v>-22</v>
      </c>
      <c r="X21" s="13">
        <f>Drivers!X44</f>
        <v>0</v>
      </c>
      <c r="Y21" s="13">
        <f>Drivers!Y44</f>
        <v>0</v>
      </c>
      <c r="Z21" s="13">
        <f>Drivers!Z44</f>
        <v>0</v>
      </c>
      <c r="AA21" s="13">
        <f>Drivers!AA44</f>
        <v>0</v>
      </c>
      <c r="AB21" s="13">
        <f>Drivers!AB44</f>
        <v>0</v>
      </c>
      <c r="AC21" s="13">
        <f>Drivers!AC44</f>
        <v>0</v>
      </c>
      <c r="AD21" s="13">
        <f>Drivers!AD44</f>
        <v>0</v>
      </c>
      <c r="AE21" s="13">
        <f>Drivers!AE44</f>
        <v>0</v>
      </c>
      <c r="AF21" s="13">
        <f>Drivers!AF44</f>
        <v>0</v>
      </c>
      <c r="AG21" s="13">
        <f>Drivers!AG44</f>
        <v>0</v>
      </c>
      <c r="AH21" s="13">
        <f>Drivers!AH44</f>
        <v>0</v>
      </c>
      <c r="AI21" s="13">
        <f>Drivers!AI44</f>
        <v>0</v>
      </c>
      <c r="AJ21" s="13">
        <f>Drivers!AJ44</f>
        <v>0</v>
      </c>
      <c r="AK21" s="13">
        <f>Drivers!AK44</f>
        <v>0</v>
      </c>
    </row>
    <row r="22" spans="1:37" x14ac:dyDescent="0.45">
      <c r="A22" s="12" t="s">
        <v>591</v>
      </c>
      <c r="B22" s="4" t="s">
        <v>592</v>
      </c>
      <c r="C22" s="12" t="s">
        <v>70</v>
      </c>
      <c r="E22" s="56">
        <f t="shared" ref="E22:AK22" si="2">E20+E21</f>
        <v>3</v>
      </c>
      <c r="F22" s="56">
        <f t="shared" si="2"/>
        <v>29</v>
      </c>
      <c r="G22" s="56">
        <f t="shared" si="2"/>
        <v>13</v>
      </c>
      <c r="H22" s="56">
        <f t="shared" si="2"/>
        <v>-6</v>
      </c>
      <c r="I22" s="56">
        <f t="shared" si="2"/>
        <v>2</v>
      </c>
      <c r="J22" s="56">
        <f t="shared" si="2"/>
        <v>48</v>
      </c>
      <c r="K22" s="56">
        <f t="shared" si="2"/>
        <v>-2</v>
      </c>
      <c r="L22" s="56">
        <f t="shared" si="2"/>
        <v>12</v>
      </c>
      <c r="M22" s="56">
        <f t="shared" si="2"/>
        <v>5</v>
      </c>
      <c r="N22" s="56">
        <f t="shared" si="2"/>
        <v>73</v>
      </c>
      <c r="O22" s="56">
        <f t="shared" si="2"/>
        <v>-26</v>
      </c>
      <c r="P22" s="56">
        <f t="shared" si="2"/>
        <v>-40</v>
      </c>
      <c r="Q22" s="56">
        <f t="shared" si="2"/>
        <v>11</v>
      </c>
      <c r="R22" s="56">
        <f t="shared" si="2"/>
        <v>73</v>
      </c>
      <c r="S22" s="56">
        <f t="shared" si="2"/>
        <v>-22</v>
      </c>
      <c r="T22" s="56">
        <f t="shared" si="2"/>
        <v>19</v>
      </c>
      <c r="U22" s="56">
        <f t="shared" si="2"/>
        <v>-63</v>
      </c>
      <c r="V22" s="56">
        <f t="shared" si="2"/>
        <v>-227</v>
      </c>
      <c r="W22" s="56">
        <f t="shared" si="2"/>
        <v>-185</v>
      </c>
      <c r="X22" s="56">
        <f t="shared" si="2"/>
        <v>-150</v>
      </c>
      <c r="Y22" s="56">
        <f t="shared" si="2"/>
        <v>-150</v>
      </c>
      <c r="Z22" s="56">
        <f t="shared" si="2"/>
        <v>-150</v>
      </c>
      <c r="AA22" s="56">
        <f t="shared" si="2"/>
        <v>-150</v>
      </c>
      <c r="AB22" s="56">
        <f t="shared" si="2"/>
        <v>-150</v>
      </c>
      <c r="AC22" s="56">
        <f t="shared" si="2"/>
        <v>-150</v>
      </c>
      <c r="AD22" s="56">
        <f t="shared" si="2"/>
        <v>-150</v>
      </c>
      <c r="AE22" s="56">
        <f t="shared" si="2"/>
        <v>-150</v>
      </c>
      <c r="AF22" s="56">
        <f t="shared" si="2"/>
        <v>-150</v>
      </c>
      <c r="AG22" s="56">
        <f t="shared" si="2"/>
        <v>-150</v>
      </c>
      <c r="AH22" s="56">
        <f t="shared" si="2"/>
        <v>-150</v>
      </c>
      <c r="AI22" s="56">
        <f t="shared" si="2"/>
        <v>-150</v>
      </c>
      <c r="AJ22" s="56">
        <f t="shared" si="2"/>
        <v>-150</v>
      </c>
      <c r="AK22" s="56">
        <f t="shared" si="2"/>
        <v>-150</v>
      </c>
    </row>
    <row r="23" spans="1:37" x14ac:dyDescent="0.45">
      <c r="A23" s="12" t="s">
        <v>593</v>
      </c>
      <c r="B23" s="57" t="s">
        <v>594</v>
      </c>
      <c r="C23" s="12" t="s">
        <v>70</v>
      </c>
      <c r="E23" s="13">
        <f>Hist_Q!E46</f>
        <v>-1</v>
      </c>
      <c r="F23" s="13">
        <f>Hist_Q!F46</f>
        <v>0</v>
      </c>
      <c r="G23" s="13">
        <f>Hist_Q!G46</f>
        <v>0</v>
      </c>
      <c r="H23" s="13">
        <f>Hist_Q!H46</f>
        <v>-1</v>
      </c>
      <c r="I23" s="13">
        <f>Hist_Q!I46</f>
        <v>1</v>
      </c>
      <c r="J23" s="13">
        <f>Hist_Q!J46</f>
        <v>0</v>
      </c>
      <c r="K23" s="13">
        <f>Hist_Q!K46</f>
        <v>0</v>
      </c>
      <c r="L23" s="13">
        <f>Hist_Q!L46</f>
        <v>-1</v>
      </c>
      <c r="M23" s="13">
        <f>Hist_Q!M46</f>
        <v>1</v>
      </c>
      <c r="N23" s="13">
        <f>Hist_Q!N46</f>
        <v>0</v>
      </c>
      <c r="O23" s="13">
        <f>Hist_Q!O46</f>
        <v>-1</v>
      </c>
      <c r="P23" s="13">
        <f>Hist_Q!P46</f>
        <v>2</v>
      </c>
      <c r="Q23" s="13">
        <f>Hist_Q!Q46</f>
        <v>-2</v>
      </c>
      <c r="R23" s="13">
        <f>Hist_Q!R46</f>
        <v>0</v>
      </c>
      <c r="S23" s="13">
        <f>Hist_Q!S46</f>
        <v>3</v>
      </c>
      <c r="T23" s="13">
        <f>Hist_Q!T46</f>
        <v>0</v>
      </c>
      <c r="U23" s="13">
        <f>Hist_Q!U46</f>
        <v>-1</v>
      </c>
      <c r="V23" s="13">
        <f>Hist_Q!V46</f>
        <v>0</v>
      </c>
      <c r="W23" s="13">
        <f>Hist_Q!W46</f>
        <v>-1</v>
      </c>
      <c r="X23" s="50">
        <f t="shared" ref="X23:AK23" si="3">FXEffect</f>
        <v>0</v>
      </c>
      <c r="Y23" s="50">
        <f t="shared" si="3"/>
        <v>0</v>
      </c>
      <c r="Z23" s="50">
        <f t="shared" si="3"/>
        <v>0</v>
      </c>
      <c r="AA23" s="50">
        <f t="shared" si="3"/>
        <v>0</v>
      </c>
      <c r="AB23" s="50">
        <f t="shared" si="3"/>
        <v>0</v>
      </c>
      <c r="AC23" s="50">
        <f t="shared" si="3"/>
        <v>0</v>
      </c>
      <c r="AD23" s="50">
        <f t="shared" si="3"/>
        <v>0</v>
      </c>
      <c r="AE23" s="50">
        <f t="shared" si="3"/>
        <v>0</v>
      </c>
      <c r="AF23" s="50">
        <f t="shared" si="3"/>
        <v>0</v>
      </c>
      <c r="AG23" s="50">
        <f t="shared" si="3"/>
        <v>0</v>
      </c>
      <c r="AH23" s="50">
        <f t="shared" si="3"/>
        <v>0</v>
      </c>
      <c r="AI23" s="50">
        <f t="shared" si="3"/>
        <v>0</v>
      </c>
      <c r="AJ23" s="50">
        <f t="shared" si="3"/>
        <v>0</v>
      </c>
      <c r="AK23" s="50">
        <f t="shared" si="3"/>
        <v>0</v>
      </c>
    </row>
    <row r="25" spans="1:37" x14ac:dyDescent="0.45">
      <c r="A25" s="12" t="s">
        <v>595</v>
      </c>
      <c r="B25" s="4" t="s">
        <v>596</v>
      </c>
      <c r="C25" s="12" t="s">
        <v>70</v>
      </c>
      <c r="E25" s="49">
        <f t="shared" ref="E25:AK25" si="4">E14+E18+E22+E23</f>
        <v>-490</v>
      </c>
      <c r="F25" s="49">
        <f t="shared" si="4"/>
        <v>-21</v>
      </c>
      <c r="G25" s="49">
        <f t="shared" si="4"/>
        <v>-47</v>
      </c>
      <c r="H25" s="49">
        <f t="shared" si="4"/>
        <v>-59</v>
      </c>
      <c r="I25" s="49">
        <f t="shared" si="4"/>
        <v>-89</v>
      </c>
      <c r="J25" s="49">
        <f t="shared" si="4"/>
        <v>-49</v>
      </c>
      <c r="K25" s="49">
        <f t="shared" si="4"/>
        <v>36</v>
      </c>
      <c r="L25" s="49">
        <f t="shared" si="4"/>
        <v>28</v>
      </c>
      <c r="M25" s="49">
        <f t="shared" si="4"/>
        <v>97</v>
      </c>
      <c r="N25" s="49">
        <f t="shared" si="4"/>
        <v>24</v>
      </c>
      <c r="O25" s="49">
        <f t="shared" si="4"/>
        <v>93</v>
      </c>
      <c r="P25" s="49">
        <f t="shared" si="4"/>
        <v>80</v>
      </c>
      <c r="Q25" s="49">
        <f t="shared" si="4"/>
        <v>141</v>
      </c>
      <c r="R25" s="49">
        <f t="shared" si="4"/>
        <v>174</v>
      </c>
      <c r="S25" s="49">
        <f t="shared" si="4"/>
        <v>166</v>
      </c>
      <c r="T25" s="49">
        <f t="shared" si="4"/>
        <v>180</v>
      </c>
      <c r="U25" s="49">
        <f t="shared" si="4"/>
        <v>-22</v>
      </c>
      <c r="V25" s="49">
        <f t="shared" si="4"/>
        <v>-170</v>
      </c>
      <c r="W25" s="49">
        <f t="shared" si="4"/>
        <v>-109</v>
      </c>
      <c r="X25" s="49">
        <f t="shared" si="4"/>
        <v>115.55965390979452</v>
      </c>
      <c r="Y25" s="49">
        <f t="shared" si="4"/>
        <v>66.883726388355967</v>
      </c>
      <c r="Z25" s="49">
        <f t="shared" si="4"/>
        <v>118.09572287255651</v>
      </c>
      <c r="AA25" s="49">
        <f t="shared" si="4"/>
        <v>158.25251640656842</v>
      </c>
      <c r="AB25" s="49">
        <f t="shared" si="4"/>
        <v>162.62907246352535</v>
      </c>
      <c r="AC25" s="49">
        <f t="shared" si="4"/>
        <v>132.2615220147793</v>
      </c>
      <c r="AD25" s="49">
        <f t="shared" si="4"/>
        <v>163.53277190813299</v>
      </c>
      <c r="AE25" s="49">
        <f t="shared" si="4"/>
        <v>244.0322487063865</v>
      </c>
      <c r="AF25" s="49">
        <f t="shared" si="4"/>
        <v>229.06739379272034</v>
      </c>
      <c r="AG25" s="49">
        <f t="shared" si="4"/>
        <v>199.68290850746126</v>
      </c>
      <c r="AH25" s="49">
        <f t="shared" si="4"/>
        <v>195.1926460413178</v>
      </c>
      <c r="AI25" s="49">
        <f t="shared" si="4"/>
        <v>325.61896436330687</v>
      </c>
      <c r="AJ25" s="49">
        <f t="shared" si="4"/>
        <v>296.65523207590019</v>
      </c>
      <c r="AK25" s="49">
        <f t="shared" si="4"/>
        <v>263.37523008381402</v>
      </c>
    </row>
    <row r="26" spans="1:37" x14ac:dyDescent="0.45">
      <c r="A26" s="12" t="s">
        <v>597</v>
      </c>
      <c r="B26" s="3" t="s">
        <v>598</v>
      </c>
      <c r="C26" s="12" t="s">
        <v>70</v>
      </c>
      <c r="E26" s="13">
        <f>Hist_Q!E48-E25</f>
        <v>1341</v>
      </c>
      <c r="F26" s="50">
        <f t="shared" ref="F26:AK26" si="5">E27</f>
        <v>851</v>
      </c>
      <c r="G26" s="50">
        <f t="shared" si="5"/>
        <v>830</v>
      </c>
      <c r="H26" s="50">
        <f t="shared" si="5"/>
        <v>783</v>
      </c>
      <c r="I26" s="50">
        <f t="shared" si="5"/>
        <v>724</v>
      </c>
      <c r="J26" s="50">
        <f t="shared" si="5"/>
        <v>635</v>
      </c>
      <c r="K26" s="50">
        <f t="shared" si="5"/>
        <v>586</v>
      </c>
      <c r="L26" s="50">
        <f t="shared" si="5"/>
        <v>622</v>
      </c>
      <c r="M26" s="50">
        <f t="shared" si="5"/>
        <v>650</v>
      </c>
      <c r="N26" s="50">
        <f t="shared" si="5"/>
        <v>747</v>
      </c>
      <c r="O26" s="50">
        <f t="shared" si="5"/>
        <v>771</v>
      </c>
      <c r="P26" s="50">
        <f t="shared" si="5"/>
        <v>864</v>
      </c>
      <c r="Q26" s="50">
        <f t="shared" si="5"/>
        <v>944</v>
      </c>
      <c r="R26" s="50">
        <f t="shared" si="5"/>
        <v>1085</v>
      </c>
      <c r="S26" s="50">
        <f t="shared" si="5"/>
        <v>1259</v>
      </c>
      <c r="T26" s="50">
        <f t="shared" si="5"/>
        <v>1425</v>
      </c>
      <c r="U26" s="50">
        <f t="shared" si="5"/>
        <v>1605</v>
      </c>
      <c r="V26" s="50">
        <f t="shared" si="5"/>
        <v>1583</v>
      </c>
      <c r="W26" s="50">
        <f t="shared" si="5"/>
        <v>1413</v>
      </c>
      <c r="X26" s="50">
        <f t="shared" si="5"/>
        <v>1304</v>
      </c>
      <c r="Y26" s="50">
        <f t="shared" si="5"/>
        <v>1419.5596539097946</v>
      </c>
      <c r="Z26" s="50">
        <f t="shared" si="5"/>
        <v>1486.4433802981507</v>
      </c>
      <c r="AA26" s="50">
        <f t="shared" si="5"/>
        <v>1604.5391031707072</v>
      </c>
      <c r="AB26" s="50">
        <f t="shared" si="5"/>
        <v>1762.7916195772757</v>
      </c>
      <c r="AC26" s="50">
        <f t="shared" si="5"/>
        <v>1925.420692040801</v>
      </c>
      <c r="AD26" s="50">
        <f t="shared" si="5"/>
        <v>2057.6822140555805</v>
      </c>
      <c r="AE26" s="50">
        <f t="shared" si="5"/>
        <v>2221.2149859637134</v>
      </c>
      <c r="AF26" s="50">
        <f t="shared" si="5"/>
        <v>2465.2472346700997</v>
      </c>
      <c r="AG26" s="50">
        <f t="shared" si="5"/>
        <v>2694.3146284628201</v>
      </c>
      <c r="AH26" s="50">
        <f t="shared" si="5"/>
        <v>2893.9975369702815</v>
      </c>
      <c r="AI26" s="50">
        <f t="shared" si="5"/>
        <v>3089.1901830115994</v>
      </c>
      <c r="AJ26" s="50">
        <f t="shared" si="5"/>
        <v>3414.8091473749064</v>
      </c>
      <c r="AK26" s="50">
        <f t="shared" si="5"/>
        <v>3711.4643794508065</v>
      </c>
    </row>
    <row r="27" spans="1:37" x14ac:dyDescent="0.45">
      <c r="A27" s="12" t="s">
        <v>599</v>
      </c>
      <c r="B27" s="4" t="s">
        <v>600</v>
      </c>
      <c r="C27" s="12" t="s">
        <v>70</v>
      </c>
      <c r="E27" s="56">
        <f t="shared" ref="E27:AK27" si="6">E26+E25</f>
        <v>851</v>
      </c>
      <c r="F27" s="56">
        <f t="shared" si="6"/>
        <v>830</v>
      </c>
      <c r="G27" s="56">
        <f t="shared" si="6"/>
        <v>783</v>
      </c>
      <c r="H27" s="56">
        <f t="shared" si="6"/>
        <v>724</v>
      </c>
      <c r="I27" s="56">
        <f t="shared" si="6"/>
        <v>635</v>
      </c>
      <c r="J27" s="56">
        <f t="shared" si="6"/>
        <v>586</v>
      </c>
      <c r="K27" s="56">
        <f t="shared" si="6"/>
        <v>622</v>
      </c>
      <c r="L27" s="56">
        <f t="shared" si="6"/>
        <v>650</v>
      </c>
      <c r="M27" s="56">
        <f t="shared" si="6"/>
        <v>747</v>
      </c>
      <c r="N27" s="56">
        <f t="shared" si="6"/>
        <v>771</v>
      </c>
      <c r="O27" s="56">
        <f t="shared" si="6"/>
        <v>864</v>
      </c>
      <c r="P27" s="56">
        <f t="shared" si="6"/>
        <v>944</v>
      </c>
      <c r="Q27" s="56">
        <f t="shared" si="6"/>
        <v>1085</v>
      </c>
      <c r="R27" s="56">
        <f t="shared" si="6"/>
        <v>1259</v>
      </c>
      <c r="S27" s="56">
        <f t="shared" si="6"/>
        <v>1425</v>
      </c>
      <c r="T27" s="56">
        <f t="shared" si="6"/>
        <v>1605</v>
      </c>
      <c r="U27" s="56">
        <f t="shared" si="6"/>
        <v>1583</v>
      </c>
      <c r="V27" s="56">
        <f t="shared" si="6"/>
        <v>1413</v>
      </c>
      <c r="W27" s="56">
        <f t="shared" si="6"/>
        <v>1304</v>
      </c>
      <c r="X27" s="56">
        <f t="shared" si="6"/>
        <v>1419.5596539097946</v>
      </c>
      <c r="Y27" s="56">
        <f t="shared" si="6"/>
        <v>1486.4433802981507</v>
      </c>
      <c r="Z27" s="56">
        <f t="shared" si="6"/>
        <v>1604.5391031707072</v>
      </c>
      <c r="AA27" s="56">
        <f t="shared" si="6"/>
        <v>1762.7916195772757</v>
      </c>
      <c r="AB27" s="56">
        <f t="shared" si="6"/>
        <v>1925.420692040801</v>
      </c>
      <c r="AC27" s="56">
        <f t="shared" si="6"/>
        <v>2057.6822140555805</v>
      </c>
      <c r="AD27" s="56">
        <f t="shared" si="6"/>
        <v>2221.2149859637134</v>
      </c>
      <c r="AE27" s="56">
        <f t="shared" si="6"/>
        <v>2465.2472346700997</v>
      </c>
      <c r="AF27" s="56">
        <f t="shared" si="6"/>
        <v>2694.3146284628201</v>
      </c>
      <c r="AG27" s="56">
        <f t="shared" si="6"/>
        <v>2893.9975369702815</v>
      </c>
      <c r="AH27" s="56">
        <f t="shared" si="6"/>
        <v>3089.1901830115994</v>
      </c>
      <c r="AI27" s="56">
        <f t="shared" si="6"/>
        <v>3414.8091473749064</v>
      </c>
      <c r="AJ27" s="56">
        <f t="shared" si="6"/>
        <v>3711.4643794508065</v>
      </c>
      <c r="AK27" s="56">
        <f t="shared" si="6"/>
        <v>3974.8396095346206</v>
      </c>
    </row>
    <row r="28" spans="1:37" x14ac:dyDescent="0.45">
      <c r="A28" s="12" t="s">
        <v>601</v>
      </c>
      <c r="B28" s="3" t="s">
        <v>602</v>
      </c>
      <c r="C28" s="12" t="s">
        <v>70</v>
      </c>
      <c r="E28" s="13">
        <f>Hist_Q!E48</f>
        <v>851</v>
      </c>
      <c r="F28" s="13">
        <f>Hist_Q!F48</f>
        <v>830</v>
      </c>
      <c r="G28" s="13">
        <f>Hist_Q!G48</f>
        <v>783</v>
      </c>
      <c r="H28" s="13">
        <f>Hist_Q!H48</f>
        <v>724</v>
      </c>
      <c r="I28" s="13">
        <f>Hist_Q!I48</f>
        <v>635</v>
      </c>
      <c r="J28" s="13">
        <f>Hist_Q!J48</f>
        <v>586</v>
      </c>
      <c r="K28" s="13">
        <f>Hist_Q!K48</f>
        <v>622</v>
      </c>
      <c r="L28" s="13">
        <f>Hist_Q!L48</f>
        <v>650</v>
      </c>
      <c r="M28" s="13">
        <f>Hist_Q!M48</f>
        <v>747</v>
      </c>
      <c r="N28" s="13">
        <f>Hist_Q!N48</f>
        <v>771</v>
      </c>
      <c r="O28" s="13">
        <f>Hist_Q!O48</f>
        <v>864</v>
      </c>
      <c r="P28" s="13">
        <f>Hist_Q!P48</f>
        <v>944</v>
      </c>
      <c r="Q28" s="13">
        <f>Hist_Q!Q48</f>
        <v>1085</v>
      </c>
      <c r="R28" s="13">
        <f>Hist_Q!R48</f>
        <v>1259</v>
      </c>
      <c r="S28" s="13">
        <f>Hist_Q!S48</f>
        <v>1425</v>
      </c>
      <c r="T28" s="13">
        <f>Hist_Q!T48</f>
        <v>1605</v>
      </c>
      <c r="U28" s="13">
        <f>Hist_Q!U48</f>
        <v>1583</v>
      </c>
      <c r="V28" s="13">
        <f>Hist_Q!V48</f>
        <v>1413</v>
      </c>
      <c r="W28" s="13">
        <f>Hist_Q!W48</f>
        <v>1304</v>
      </c>
    </row>
    <row r="29" spans="1:37" x14ac:dyDescent="0.45">
      <c r="A29" s="12" t="s">
        <v>603</v>
      </c>
      <c r="B29" s="3" t="s">
        <v>604</v>
      </c>
      <c r="C29" s="12" t="s">
        <v>70</v>
      </c>
      <c r="E29" s="13">
        <f>BS!E10+BS!E14+BS!E19</f>
        <v>851</v>
      </c>
      <c r="F29" s="13">
        <f>BS!F10+BS!F14+BS!F19</f>
        <v>830</v>
      </c>
      <c r="G29" s="13">
        <f>BS!G10+BS!G14+BS!G19</f>
        <v>783</v>
      </c>
      <c r="H29" s="13">
        <f>BS!H10+BS!H14+BS!H19</f>
        <v>724</v>
      </c>
      <c r="I29" s="13">
        <f>BS!I10+BS!I14+BS!I19</f>
        <v>635</v>
      </c>
      <c r="J29" s="13">
        <f>BS!J10+BS!J14+BS!J19</f>
        <v>586</v>
      </c>
      <c r="K29" s="13">
        <f>BS!K10+BS!K14+BS!K19</f>
        <v>622</v>
      </c>
      <c r="L29" s="13">
        <f>BS!L10+BS!L14+BS!L19</f>
        <v>650</v>
      </c>
      <c r="M29" s="13">
        <f>BS!M10+BS!M14+BS!M19</f>
        <v>747</v>
      </c>
      <c r="N29" s="13">
        <f>BS!N10+BS!N14+BS!N19</f>
        <v>771</v>
      </c>
      <c r="O29" s="13">
        <f>BS!O10+BS!O14+BS!O19</f>
        <v>864</v>
      </c>
      <c r="P29" s="13">
        <f>BS!P10+BS!P14+BS!P19</f>
        <v>944</v>
      </c>
      <c r="Q29" s="13">
        <f>BS!Q10+BS!Q14+BS!Q19</f>
        <v>1085</v>
      </c>
      <c r="R29" s="13">
        <f>BS!R10+BS!R14+BS!R19</f>
        <v>1259</v>
      </c>
      <c r="S29" s="13">
        <f>BS!S10+BS!S14+BS!S19</f>
        <v>1425</v>
      </c>
      <c r="T29" s="13">
        <f>BS!T10+BS!T14+BS!T19</f>
        <v>1605</v>
      </c>
      <c r="U29" s="13">
        <f>BS!U10+BS!U14+BS!U19</f>
        <v>1583</v>
      </c>
      <c r="V29" s="13">
        <f>BS!V10+BS!V14+BS!V19</f>
        <v>1413</v>
      </c>
      <c r="W29" s="13">
        <f>BS!W10+BS!W14+BS!W19</f>
        <v>1304</v>
      </c>
      <c r="X29" s="13">
        <f>BS!X10+BS!X14+BS!X19</f>
        <v>1419.5596539097946</v>
      </c>
      <c r="Y29" s="13">
        <f>BS!Y10+BS!Y14+BS!Y19</f>
        <v>1486.4433802981507</v>
      </c>
      <c r="Z29" s="13">
        <f>BS!Z10+BS!Z14+BS!Z19</f>
        <v>1604.5391031707072</v>
      </c>
      <c r="AA29" s="13">
        <f>BS!AA10+BS!AA14+BS!AA19</f>
        <v>1762.7916195772757</v>
      </c>
      <c r="AB29" s="13">
        <f>BS!AB10+BS!AB14+BS!AB19</f>
        <v>1925.420692040801</v>
      </c>
      <c r="AC29" s="13">
        <f>BS!AC10+BS!AC14+BS!AC19</f>
        <v>2057.6822140555805</v>
      </c>
      <c r="AD29" s="13">
        <f>BS!AD10+BS!AD14+BS!AD19</f>
        <v>2221.2149859637134</v>
      </c>
      <c r="AE29" s="13">
        <f>BS!AE10+BS!AE14+BS!AE19</f>
        <v>2465.2472346700997</v>
      </c>
      <c r="AF29" s="13">
        <f>BS!AF10+BS!AF14+BS!AF19</f>
        <v>2694.3146284628201</v>
      </c>
      <c r="AG29" s="13">
        <f>BS!AG10+BS!AG14+BS!AG19</f>
        <v>2893.9975369702815</v>
      </c>
      <c r="AH29" s="13">
        <f>BS!AH10+BS!AH14+BS!AH19</f>
        <v>3089.1901830115994</v>
      </c>
      <c r="AI29" s="13">
        <f>BS!AI10+BS!AI14+BS!AI19</f>
        <v>3414.8091473749064</v>
      </c>
      <c r="AJ29" s="13">
        <f>BS!AJ10+BS!AJ14+BS!AJ19</f>
        <v>3711.4643794508065</v>
      </c>
      <c r="AK29" s="13">
        <f>BS!AK10+BS!AK14+BS!AK19</f>
        <v>3974.8396095346206</v>
      </c>
    </row>
    <row r="30" spans="1:37" x14ac:dyDescent="0.45">
      <c r="A30" s="12" t="s">
        <v>605</v>
      </c>
      <c r="B30" s="3" t="s">
        <v>606</v>
      </c>
      <c r="C30" s="12" t="s">
        <v>70</v>
      </c>
      <c r="E30" s="60">
        <f t="shared" ref="E30:AK30" si="7">ROUND(E27-E29,6)</f>
        <v>0</v>
      </c>
      <c r="F30" s="60">
        <f t="shared" si="7"/>
        <v>0</v>
      </c>
      <c r="G30" s="60">
        <f t="shared" si="7"/>
        <v>0</v>
      </c>
      <c r="H30" s="60">
        <f t="shared" si="7"/>
        <v>0</v>
      </c>
      <c r="I30" s="60">
        <f t="shared" si="7"/>
        <v>0</v>
      </c>
      <c r="J30" s="60">
        <f t="shared" si="7"/>
        <v>0</v>
      </c>
      <c r="K30" s="60">
        <f t="shared" si="7"/>
        <v>0</v>
      </c>
      <c r="L30" s="60">
        <f t="shared" si="7"/>
        <v>0</v>
      </c>
      <c r="M30" s="60">
        <f t="shared" si="7"/>
        <v>0</v>
      </c>
      <c r="N30" s="60">
        <f t="shared" si="7"/>
        <v>0</v>
      </c>
      <c r="O30" s="60">
        <f t="shared" si="7"/>
        <v>0</v>
      </c>
      <c r="P30" s="60">
        <f t="shared" si="7"/>
        <v>0</v>
      </c>
      <c r="Q30" s="60">
        <f t="shared" si="7"/>
        <v>0</v>
      </c>
      <c r="R30" s="60">
        <f t="shared" si="7"/>
        <v>0</v>
      </c>
      <c r="S30" s="60">
        <f t="shared" si="7"/>
        <v>0</v>
      </c>
      <c r="T30" s="60">
        <f t="shared" si="7"/>
        <v>0</v>
      </c>
      <c r="U30" s="60">
        <f t="shared" si="7"/>
        <v>0</v>
      </c>
      <c r="V30" s="60">
        <f t="shared" si="7"/>
        <v>0</v>
      </c>
      <c r="W30" s="60">
        <f t="shared" si="7"/>
        <v>0</v>
      </c>
      <c r="X30" s="60">
        <f t="shared" si="7"/>
        <v>0</v>
      </c>
      <c r="Y30" s="60">
        <f t="shared" si="7"/>
        <v>0</v>
      </c>
      <c r="Z30" s="60">
        <f t="shared" si="7"/>
        <v>0</v>
      </c>
      <c r="AA30" s="60">
        <f t="shared" si="7"/>
        <v>0</v>
      </c>
      <c r="AB30" s="60">
        <f t="shared" si="7"/>
        <v>0</v>
      </c>
      <c r="AC30" s="60">
        <f t="shared" si="7"/>
        <v>0</v>
      </c>
      <c r="AD30" s="60">
        <f t="shared" si="7"/>
        <v>0</v>
      </c>
      <c r="AE30" s="60">
        <f t="shared" si="7"/>
        <v>0</v>
      </c>
      <c r="AF30" s="60">
        <f t="shared" si="7"/>
        <v>0</v>
      </c>
      <c r="AG30" s="60">
        <f t="shared" si="7"/>
        <v>0</v>
      </c>
      <c r="AH30" s="60">
        <f t="shared" si="7"/>
        <v>0</v>
      </c>
      <c r="AI30" s="60">
        <f t="shared" si="7"/>
        <v>0</v>
      </c>
      <c r="AJ30" s="60">
        <f t="shared" si="7"/>
        <v>0</v>
      </c>
      <c r="AK30" s="60">
        <f t="shared" si="7"/>
        <v>0</v>
      </c>
    </row>
    <row r="31" spans="1:37" x14ac:dyDescent="0.45">
      <c r="A31" s="21"/>
      <c r="B31" s="22" t="s">
        <v>607</v>
      </c>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row>
    <row r="32" spans="1:37" x14ac:dyDescent="0.45">
      <c r="A32" s="12" t="s">
        <v>608</v>
      </c>
      <c r="B32" s="4" t="s">
        <v>78</v>
      </c>
      <c r="C32" s="12" t="s">
        <v>70</v>
      </c>
      <c r="E32" s="49">
        <f t="shared" ref="E32:AK32" si="8">E14+E16</f>
        <v>-34</v>
      </c>
      <c r="F32" s="49">
        <f t="shared" si="8"/>
        <v>-50</v>
      </c>
      <c r="G32" s="49">
        <f t="shared" si="8"/>
        <v>-30</v>
      </c>
      <c r="H32" s="49">
        <f t="shared" si="8"/>
        <v>-80</v>
      </c>
      <c r="I32" s="49">
        <f t="shared" si="8"/>
        <v>-29</v>
      </c>
      <c r="J32" s="49">
        <f t="shared" si="8"/>
        <v>-65</v>
      </c>
      <c r="K32" s="49">
        <f t="shared" si="8"/>
        <v>39</v>
      </c>
      <c r="L32" s="49">
        <f t="shared" si="8"/>
        <v>38</v>
      </c>
      <c r="M32" s="49">
        <f t="shared" si="8"/>
        <v>81</v>
      </c>
      <c r="N32" s="49">
        <f t="shared" si="8"/>
        <v>-33</v>
      </c>
      <c r="O32" s="49">
        <f t="shared" si="8"/>
        <v>108</v>
      </c>
      <c r="P32" s="49">
        <f t="shared" si="8"/>
        <v>97</v>
      </c>
      <c r="Q32" s="49">
        <f t="shared" si="8"/>
        <v>134</v>
      </c>
      <c r="R32" s="49">
        <f t="shared" si="8"/>
        <v>69</v>
      </c>
      <c r="S32" s="49">
        <f t="shared" si="8"/>
        <v>208</v>
      </c>
      <c r="T32" s="49">
        <f t="shared" si="8"/>
        <v>153</v>
      </c>
      <c r="U32" s="49">
        <f t="shared" si="8"/>
        <v>178</v>
      </c>
      <c r="V32" s="49">
        <f t="shared" si="8"/>
        <v>115</v>
      </c>
      <c r="W32" s="49">
        <f t="shared" si="8"/>
        <v>130</v>
      </c>
      <c r="X32" s="49">
        <f t="shared" si="8"/>
        <v>265.55965390979452</v>
      </c>
      <c r="Y32" s="49">
        <f t="shared" si="8"/>
        <v>216.88372638835597</v>
      </c>
      <c r="Z32" s="49">
        <f t="shared" si="8"/>
        <v>268.09572287255651</v>
      </c>
      <c r="AA32" s="49">
        <f t="shared" si="8"/>
        <v>308.25251640656842</v>
      </c>
      <c r="AB32" s="49">
        <f t="shared" si="8"/>
        <v>312.62907246352535</v>
      </c>
      <c r="AC32" s="49">
        <f t="shared" si="8"/>
        <v>282.2615220147793</v>
      </c>
      <c r="AD32" s="49">
        <f t="shared" si="8"/>
        <v>313.53277190813299</v>
      </c>
      <c r="AE32" s="49">
        <f t="shared" si="8"/>
        <v>394.0322487063865</v>
      </c>
      <c r="AF32" s="49">
        <f t="shared" si="8"/>
        <v>379.06739379272034</v>
      </c>
      <c r="AG32" s="49">
        <f t="shared" si="8"/>
        <v>349.68290850746126</v>
      </c>
      <c r="AH32" s="49">
        <f t="shared" si="8"/>
        <v>345.1926460413178</v>
      </c>
      <c r="AI32" s="49">
        <f t="shared" si="8"/>
        <v>475.61896436330687</v>
      </c>
      <c r="AJ32" s="49">
        <f t="shared" si="8"/>
        <v>446.65523207590019</v>
      </c>
      <c r="AK32" s="49">
        <f t="shared" si="8"/>
        <v>413.37523008381402</v>
      </c>
    </row>
    <row r="33" spans="1:37" x14ac:dyDescent="0.45">
      <c r="A33" s="12" t="s">
        <v>609</v>
      </c>
      <c r="B33" s="3" t="s">
        <v>610</v>
      </c>
      <c r="C33" s="12" t="s">
        <v>70</v>
      </c>
      <c r="E33" s="13">
        <f>Hist_Q!E77</f>
        <v>-34</v>
      </c>
      <c r="F33" s="13">
        <f>Hist_Q!F77</f>
        <v>-50</v>
      </c>
      <c r="G33" s="13">
        <f>Hist_Q!G77</f>
        <v>-30</v>
      </c>
      <c r="H33" s="13">
        <f>Hist_Q!H77</f>
        <v>-80</v>
      </c>
      <c r="I33" s="13">
        <f>Hist_Q!I77</f>
        <v>-29</v>
      </c>
      <c r="J33" s="13">
        <f>Hist_Q!J77</f>
        <v>-65</v>
      </c>
      <c r="K33" s="13">
        <f>Hist_Q!K77</f>
        <v>39</v>
      </c>
      <c r="L33" s="13">
        <f>Hist_Q!L77</f>
        <v>37</v>
      </c>
      <c r="M33" s="13">
        <f>Hist_Q!M77</f>
        <v>81</v>
      </c>
      <c r="N33" s="13">
        <f>Hist_Q!N77</f>
        <v>-33</v>
      </c>
      <c r="O33" s="13">
        <f>Hist_Q!O77</f>
        <v>108</v>
      </c>
      <c r="P33" s="13">
        <f>Hist_Q!P77</f>
        <v>97</v>
      </c>
      <c r="Q33" s="13">
        <f>Hist_Q!Q77</f>
        <v>134</v>
      </c>
      <c r="R33" s="13">
        <f>Hist_Q!R77</f>
        <v>69</v>
      </c>
      <c r="S33" s="13">
        <f>Hist_Q!S77</f>
        <v>208</v>
      </c>
      <c r="T33" s="13">
        <f>Hist_Q!T77</f>
        <v>153</v>
      </c>
      <c r="U33" s="13">
        <f>Hist_Q!U77</f>
        <v>178</v>
      </c>
      <c r="V33" s="13">
        <f>Hist_Q!V77</f>
        <v>115</v>
      </c>
      <c r="W33" s="13">
        <f>Hist_Q!W77</f>
        <v>130</v>
      </c>
    </row>
    <row r="34" spans="1:37" x14ac:dyDescent="0.45">
      <c r="A34" s="12" t="s">
        <v>611</v>
      </c>
      <c r="B34" s="3" t="s">
        <v>612</v>
      </c>
      <c r="C34" s="12" t="s">
        <v>73</v>
      </c>
      <c r="E34" s="15">
        <f>E32/IS!E54</f>
        <v>0.75555555555555554</v>
      </c>
      <c r="F34" s="15">
        <f>F32/IS!F54</f>
        <v>1.1111111111111112</v>
      </c>
      <c r="G34" s="15">
        <f>G32/IS!G54</f>
        <v>0.90909090909090906</v>
      </c>
      <c r="H34" s="15">
        <f>H32/IS!H54</f>
        <v>4.2105263157894735</v>
      </c>
      <c r="I34" s="15">
        <f>I32/IS!I54</f>
        <v>1.6111111111111112</v>
      </c>
      <c r="J34" s="15">
        <f>J32/IS!J54</f>
        <v>3.8235294117647061</v>
      </c>
      <c r="K34" s="15">
        <f>K32/IS!K54</f>
        <v>2.6</v>
      </c>
      <c r="L34" s="15">
        <f>L32/IS!L54</f>
        <v>1.0857142857142856</v>
      </c>
      <c r="M34" s="15">
        <f>M32/IS!M54</f>
        <v>2.7931034482758621</v>
      </c>
      <c r="N34" s="15">
        <f>N32/IS!N54</f>
        <v>-0.57894736842105265</v>
      </c>
      <c r="O34" s="15">
        <f>O32/IS!O54</f>
        <v>1.173913043478261</v>
      </c>
      <c r="P34" s="15">
        <f>P32/IS!P54</f>
        <v>0.8584070796460177</v>
      </c>
      <c r="Q34" s="15">
        <f>Q32/IS!Q54</f>
        <v>1.2072072072072073</v>
      </c>
      <c r="R34" s="15">
        <f>R32/IS!R54</f>
        <v>0.51879699248120303</v>
      </c>
      <c r="S34" s="15">
        <f>S32/IS!S54</f>
        <v>1.2919254658385093</v>
      </c>
      <c r="T34" s="15">
        <f>T32/IS!T54</f>
        <v>0.86931818181818177</v>
      </c>
      <c r="U34" s="15">
        <f>U32/IS!U54</f>
        <v>1.0920245398773005</v>
      </c>
      <c r="V34" s="15">
        <f>V32/IS!V54</f>
        <v>0.64245810055865926</v>
      </c>
      <c r="W34" s="15">
        <f>W32/IS!W54</f>
        <v>0.58823529411764708</v>
      </c>
      <c r="X34" s="15">
        <f>X32/IS!X54</f>
        <v>1.0873265944968149</v>
      </c>
      <c r="Y34" s="15">
        <f>Y32/IS!Y54</f>
        <v>0.92176201174617978</v>
      </c>
      <c r="Z34" s="15">
        <f>Z32/IS!Z54</f>
        <v>1.0538984603564878</v>
      </c>
      <c r="AA34" s="15">
        <f>AA32/IS!AA54</f>
        <v>1.0792879447427637</v>
      </c>
      <c r="AB34" s="15">
        <f>AB32/IS!AB54</f>
        <v>0.97761476432177108</v>
      </c>
      <c r="AC34" s="15">
        <f>AC32/IS!AC54</f>
        <v>0.9221564658300001</v>
      </c>
      <c r="AD34" s="15">
        <f>AD32/IS!AD54</f>
        <v>0.95053660493293179</v>
      </c>
      <c r="AE34" s="15">
        <f>AE32/IS!AE54</f>
        <v>1.070953521133678</v>
      </c>
      <c r="AF34" s="15">
        <f>AF32/IS!AF54</f>
        <v>0.94043041630659607</v>
      </c>
      <c r="AG34" s="15">
        <f>AG32/IS!AG54</f>
        <v>0.91128142473256235</v>
      </c>
      <c r="AH34" s="15">
        <f>AH32/IS!AH54</f>
        <v>0.85411246762235982</v>
      </c>
      <c r="AI34" s="15">
        <f>AI32/IS!AI54</f>
        <v>1.0592302988592104</v>
      </c>
      <c r="AJ34" s="15">
        <f>AJ32/IS!AJ54</f>
        <v>0.92100323891149505</v>
      </c>
      <c r="AK34" s="15">
        <f>AK32/IS!AK54</f>
        <v>0.89906177431038725</v>
      </c>
    </row>
    <row r="35" spans="1:37" x14ac:dyDescent="0.45">
      <c r="A35" s="12" t="s">
        <v>613</v>
      </c>
      <c r="B35" s="3" t="s">
        <v>614</v>
      </c>
      <c r="C35" s="12" t="s">
        <v>73</v>
      </c>
      <c r="E35" s="15">
        <f>E32/IS!E13</f>
        <v>-6.640625E-2</v>
      </c>
      <c r="F35" s="15">
        <f>F32/IS!F13</f>
        <v>-9.3457943925233641E-2</v>
      </c>
      <c r="G35" s="15">
        <f>G32/IS!G13</f>
        <v>-4.4444444444444446E-2</v>
      </c>
      <c r="H35" s="15">
        <f>H32/IS!H13</f>
        <v>-0.10638297872340426</v>
      </c>
      <c r="I35" s="15">
        <f>I32/IS!I13</f>
        <v>-3.7760416666666664E-2</v>
      </c>
      <c r="J35" s="15">
        <f>J32/IS!J13</f>
        <v>-7.9365079365079361E-2</v>
      </c>
      <c r="K35" s="15">
        <f>K32/IS!K13</f>
        <v>3.9877300613496931E-2</v>
      </c>
      <c r="L35" s="15">
        <f>L32/IS!L13</f>
        <v>3.6821705426356592E-2</v>
      </c>
      <c r="M35" s="15">
        <f>M32/IS!M13</f>
        <v>7.8185328185328182E-2</v>
      </c>
      <c r="N35" s="15">
        <f>N32/IS!N13</f>
        <v>-3.0697674418604652E-2</v>
      </c>
      <c r="O35" s="15">
        <f>O32/IS!O13</f>
        <v>8.6956521739130432E-2</v>
      </c>
      <c r="P35" s="15">
        <f>P32/IS!P13</f>
        <v>7.4329501915708807E-2</v>
      </c>
      <c r="Q35" s="15">
        <f>Q32/IS!Q13</f>
        <v>0.10014947683109118</v>
      </c>
      <c r="R35" s="15">
        <f>R32/IS!R13</f>
        <v>5.1608077786088259E-2</v>
      </c>
      <c r="S35" s="15">
        <f>S32/IS!S13</f>
        <v>0.13419354838709677</v>
      </c>
      <c r="T35" s="15">
        <f>T32/IS!T13</f>
        <v>9.3692590324556027E-2</v>
      </c>
      <c r="U35" s="15">
        <f>U32/IS!U13</f>
        <v>0.10900183710961421</v>
      </c>
      <c r="V35" s="15">
        <f>V32/IS!V13</f>
        <v>7.0552147239263799E-2</v>
      </c>
      <c r="W35" s="15">
        <f>W32/IS!W13</f>
        <v>6.8134171907756808E-2</v>
      </c>
      <c r="X35" s="15">
        <f>X32/IS!X13</f>
        <v>0.13372150834412191</v>
      </c>
      <c r="Y35" s="15">
        <f>Y32/IS!Y13</f>
        <v>0.10973312522740875</v>
      </c>
      <c r="Z35" s="15">
        <f>Z32/IS!Z13</f>
        <v>0.1371530450875747</v>
      </c>
      <c r="AA35" s="15">
        <f>AA32/IS!AA13</f>
        <v>0.13532232957642557</v>
      </c>
      <c r="AB35" s="15">
        <f>AB32/IS!AB13</f>
        <v>0.13264088324256734</v>
      </c>
      <c r="AC35" s="15">
        <f>AC32/IS!AC13</f>
        <v>0.12097429295130765</v>
      </c>
      <c r="AD35" s="15">
        <f>AD32/IS!AD13</f>
        <v>0.13631141294838439</v>
      </c>
      <c r="AE35" s="15">
        <f>AE32/IS!AE13</f>
        <v>0.1479807538987864</v>
      </c>
      <c r="AF35" s="15">
        <f>AF32/IS!AF13</f>
        <v>0.13829063159771302</v>
      </c>
      <c r="AG35" s="15">
        <f>AG32/IS!AG13</f>
        <v>0.12951075873754264</v>
      </c>
      <c r="AH35" s="15">
        <f>AH32/IS!AH13</f>
        <v>0.13027159741625086</v>
      </c>
      <c r="AI35" s="15">
        <f>AI32/IS!AI13</f>
        <v>0.15583378493497146</v>
      </c>
      <c r="AJ35" s="15">
        <f>AJ32/IS!AJ13</f>
        <v>0.14271546622237352</v>
      </c>
      <c r="AK35" s="15">
        <f>AK32/IS!AK13</f>
        <v>0.13460151203484139</v>
      </c>
    </row>
  </sheetData>
  <pageMargins left="0.75" right="0.75" top="1" bottom="1" header="0.5" footer="0.5"/>
  <pageSetup fitToHeight="0"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K56"/>
  <sheetViews>
    <sheetView showGridLines="0" zoomScale="90" workbookViewId="0">
      <pane xSplit="4" ySplit="8" topLeftCell="E9" activePane="bottomRight" state="frozen"/>
      <selection pane="topRight"/>
      <selection pane="bottomLeft"/>
      <selection pane="bottomRight"/>
    </sheetView>
  </sheetViews>
  <sheetFormatPr defaultRowHeight="14.25" x14ac:dyDescent="0.45"/>
  <cols>
    <col min="1" max="1" width="13" customWidth="1"/>
    <col min="2" max="2" width="50" customWidth="1"/>
    <col min="3" max="3" width="11" customWidth="1"/>
    <col min="4" max="4" width="3" customWidth="1"/>
    <col min="5" max="37" width="10" customWidth="1"/>
  </cols>
  <sheetData>
    <row r="1" spans="1:37" ht="18" x14ac:dyDescent="0.55000000000000004">
      <c r="A1" s="1" t="s">
        <v>615</v>
      </c>
    </row>
    <row r="2" spans="1:37" x14ac:dyDescent="0.45">
      <c r="A2" s="2" t="s">
        <v>616</v>
      </c>
    </row>
    <row r="4" spans="1:37" x14ac:dyDescent="0.45">
      <c r="A4" s="12" t="s">
        <v>279</v>
      </c>
      <c r="B4" s="4" t="s">
        <v>92</v>
      </c>
      <c r="C4" s="12"/>
      <c r="E4" s="10" t="str">
        <f>Drivers!E$4</f>
        <v>Q4'21</v>
      </c>
      <c r="F4" s="10" t="str">
        <f>Drivers!F$4</f>
        <v>Q1'22</v>
      </c>
      <c r="G4" s="10" t="str">
        <f>Drivers!G$4</f>
        <v>Q2'22</v>
      </c>
      <c r="H4" s="10" t="str">
        <f>Drivers!H$4</f>
        <v>Q3'22</v>
      </c>
      <c r="I4" s="10" t="str">
        <f>Drivers!I$4</f>
        <v>Q4'22</v>
      </c>
      <c r="J4" s="10" t="str">
        <f>Drivers!J$4</f>
        <v>Q1'23</v>
      </c>
      <c r="K4" s="10" t="str">
        <f>Drivers!K$4</f>
        <v>Q2'23</v>
      </c>
      <c r="L4" s="10" t="str">
        <f>Drivers!L$4</f>
        <v>Q3'23</v>
      </c>
      <c r="M4" s="10" t="str">
        <f>Drivers!M$4</f>
        <v>Q4'23</v>
      </c>
      <c r="N4" s="10" t="str">
        <f>Drivers!N$4</f>
        <v>Q1'24</v>
      </c>
      <c r="O4" s="10" t="str">
        <f>Drivers!O$4</f>
        <v>Q2'24</v>
      </c>
      <c r="P4" s="10" t="str">
        <f>Drivers!P$4</f>
        <v>Q3'24</v>
      </c>
      <c r="Q4" s="10" t="str">
        <f>Drivers!Q$4</f>
        <v>Q4'24</v>
      </c>
      <c r="R4" s="10" t="str">
        <f>Drivers!R$4</f>
        <v>Q1'25</v>
      </c>
      <c r="S4" s="10" t="str">
        <f>Drivers!S$4</f>
        <v>Q2'25</v>
      </c>
      <c r="T4" s="10" t="str">
        <f>Drivers!T$4</f>
        <v>Q3'25</v>
      </c>
      <c r="U4" s="10" t="str">
        <f>Drivers!U$4</f>
        <v>Q4'25</v>
      </c>
      <c r="V4" s="10" t="str">
        <f>Drivers!V$4</f>
        <v>Q1'26</v>
      </c>
      <c r="W4" s="10" t="str">
        <f>Drivers!W$4</f>
        <v>Q2'26</v>
      </c>
      <c r="X4" s="11" t="str">
        <f>Drivers!X$4</f>
        <v>Q3'26</v>
      </c>
      <c r="Y4" s="11" t="str">
        <f>Drivers!Y$4</f>
        <v>Q4'26</v>
      </c>
      <c r="Z4" s="11" t="str">
        <f>Drivers!Z$4</f>
        <v>Q1'27</v>
      </c>
      <c r="AA4" s="11" t="str">
        <f>Drivers!AA$4</f>
        <v>Q2'27</v>
      </c>
      <c r="AB4" s="11" t="str">
        <f>Drivers!AB$4</f>
        <v>Q3'27</v>
      </c>
      <c r="AC4" s="11" t="str">
        <f>Drivers!AC$4</f>
        <v>Q4'27</v>
      </c>
      <c r="AD4" s="11" t="str">
        <f>Drivers!AD$4</f>
        <v>Q1'28</v>
      </c>
      <c r="AE4" s="11" t="str">
        <f>Drivers!AE$4</f>
        <v>Q2'28</v>
      </c>
      <c r="AF4" s="11" t="str">
        <f>Drivers!AF$4</f>
        <v>Q3'28</v>
      </c>
      <c r="AG4" s="11" t="str">
        <f>Drivers!AG$4</f>
        <v>Q4'28</v>
      </c>
      <c r="AH4" s="11" t="str">
        <f>Drivers!AH$4</f>
        <v>Q1'29</v>
      </c>
      <c r="AI4" s="11" t="str">
        <f>Drivers!AI$4</f>
        <v>Q2'29</v>
      </c>
      <c r="AJ4" s="11" t="str">
        <f>Drivers!AJ$4</f>
        <v>Q3'29</v>
      </c>
      <c r="AK4" s="11" t="str">
        <f>Drivers!AK$4</f>
        <v>Q4'29</v>
      </c>
    </row>
    <row r="5" spans="1:37" x14ac:dyDescent="0.45">
      <c r="A5" s="12" t="s">
        <v>280</v>
      </c>
      <c r="B5" s="3" t="s">
        <v>281</v>
      </c>
      <c r="C5" s="12"/>
      <c r="E5" s="45" t="str">
        <f>Drivers!E$5</f>
        <v>A</v>
      </c>
      <c r="F5" s="45" t="str">
        <f>Drivers!F$5</f>
        <v>A</v>
      </c>
      <c r="G5" s="45" t="str">
        <f>Drivers!G$5</f>
        <v>A</v>
      </c>
      <c r="H5" s="45" t="str">
        <f>Drivers!H$5</f>
        <v>A</v>
      </c>
      <c r="I5" s="45" t="str">
        <f>Drivers!I$5</f>
        <v>A</v>
      </c>
      <c r="J5" s="45" t="str">
        <f>Drivers!J$5</f>
        <v>A</v>
      </c>
      <c r="K5" s="45" t="str">
        <f>Drivers!K$5</f>
        <v>A</v>
      </c>
      <c r="L5" s="45" t="str">
        <f>Drivers!L$5</f>
        <v>A</v>
      </c>
      <c r="M5" s="45" t="str">
        <f>Drivers!M$5</f>
        <v>A</v>
      </c>
      <c r="N5" s="45" t="str">
        <f>Drivers!N$5</f>
        <v>A</v>
      </c>
      <c r="O5" s="45" t="str">
        <f>Drivers!O$5</f>
        <v>A</v>
      </c>
      <c r="P5" s="45" t="str">
        <f>Drivers!P$5</f>
        <v>A</v>
      </c>
      <c r="Q5" s="45" t="str">
        <f>Drivers!Q$5</f>
        <v>A</v>
      </c>
      <c r="R5" s="45" t="str">
        <f>Drivers!R$5</f>
        <v>A</v>
      </c>
      <c r="S5" s="45" t="str">
        <f>Drivers!S$5</f>
        <v>A</v>
      </c>
      <c r="T5" s="45" t="str">
        <f>Drivers!T$5</f>
        <v>A</v>
      </c>
      <c r="U5" s="45" t="str">
        <f>Drivers!U$5</f>
        <v>A</v>
      </c>
      <c r="V5" s="45" t="str">
        <f>Drivers!V$5</f>
        <v>A</v>
      </c>
      <c r="W5" s="45" t="str">
        <f>Drivers!W$5</f>
        <v>A</v>
      </c>
      <c r="X5" s="46" t="str">
        <f>Drivers!X$5</f>
        <v>F</v>
      </c>
      <c r="Y5" s="46" t="str">
        <f>Drivers!Y$5</f>
        <v>F</v>
      </c>
      <c r="Z5" s="46" t="str">
        <f>Drivers!Z$5</f>
        <v>F</v>
      </c>
      <c r="AA5" s="46" t="str">
        <f>Drivers!AA$5</f>
        <v>F</v>
      </c>
      <c r="AB5" s="46" t="str">
        <f>Drivers!AB$5</f>
        <v>F</v>
      </c>
      <c r="AC5" s="46" t="str">
        <f>Drivers!AC$5</f>
        <v>F</v>
      </c>
      <c r="AD5" s="46" t="str">
        <f>Drivers!AD$5</f>
        <v>F</v>
      </c>
      <c r="AE5" s="46" t="str">
        <f>Drivers!AE$5</f>
        <v>F</v>
      </c>
      <c r="AF5" s="46" t="str">
        <f>Drivers!AF$5</f>
        <v>F</v>
      </c>
      <c r="AG5" s="46" t="str">
        <f>Drivers!AG$5</f>
        <v>F</v>
      </c>
      <c r="AH5" s="46" t="str">
        <f>Drivers!AH$5</f>
        <v>F</v>
      </c>
      <c r="AI5" s="46" t="str">
        <f>Drivers!AI$5</f>
        <v>F</v>
      </c>
      <c r="AJ5" s="46" t="str">
        <f>Drivers!AJ$5</f>
        <v>F</v>
      </c>
      <c r="AK5" s="46" t="str">
        <f>Drivers!AK$5</f>
        <v>F</v>
      </c>
    </row>
    <row r="6" spans="1:37" x14ac:dyDescent="0.45">
      <c r="A6" s="12" t="s">
        <v>282</v>
      </c>
      <c r="B6" s="3" t="s">
        <v>97</v>
      </c>
      <c r="C6" s="12"/>
      <c r="E6" s="20">
        <f>Drivers!E$6</f>
        <v>2021</v>
      </c>
      <c r="F6" s="20">
        <f>Drivers!F$6</f>
        <v>2022</v>
      </c>
      <c r="G6" s="20">
        <f>Drivers!G$6</f>
        <v>2022</v>
      </c>
      <c r="H6" s="20">
        <f>Drivers!H$6</f>
        <v>2022</v>
      </c>
      <c r="I6" s="20">
        <f>Drivers!I$6</f>
        <v>2022</v>
      </c>
      <c r="J6" s="20">
        <f>Drivers!J$6</f>
        <v>2023</v>
      </c>
      <c r="K6" s="20">
        <f>Drivers!K$6</f>
        <v>2023</v>
      </c>
      <c r="L6" s="20">
        <f>Drivers!L$6</f>
        <v>2023</v>
      </c>
      <c r="M6" s="20">
        <f>Drivers!M$6</f>
        <v>2023</v>
      </c>
      <c r="N6" s="20">
        <f>Drivers!N$6</f>
        <v>2024</v>
      </c>
      <c r="O6" s="20">
        <f>Drivers!O$6</f>
        <v>2024</v>
      </c>
      <c r="P6" s="20">
        <f>Drivers!P$6</f>
        <v>2024</v>
      </c>
      <c r="Q6" s="20">
        <f>Drivers!Q$6</f>
        <v>2024</v>
      </c>
      <c r="R6" s="20">
        <f>Drivers!R$6</f>
        <v>2025</v>
      </c>
      <c r="S6" s="20">
        <f>Drivers!S$6</f>
        <v>2025</v>
      </c>
      <c r="T6" s="20">
        <f>Drivers!T$6</f>
        <v>2025</v>
      </c>
      <c r="U6" s="20">
        <f>Drivers!U$6</f>
        <v>2025</v>
      </c>
      <c r="V6" s="20">
        <f>Drivers!V$6</f>
        <v>2026</v>
      </c>
      <c r="W6" s="20">
        <f>Drivers!W$6</f>
        <v>2026</v>
      </c>
      <c r="X6" s="20">
        <f>Drivers!X$6</f>
        <v>2026</v>
      </c>
      <c r="Y6" s="20">
        <f>Drivers!Y$6</f>
        <v>2026</v>
      </c>
      <c r="Z6" s="20">
        <f>Drivers!Z$6</f>
        <v>2027</v>
      </c>
      <c r="AA6" s="20">
        <f>Drivers!AA$6</f>
        <v>2027</v>
      </c>
      <c r="AB6" s="20">
        <f>Drivers!AB$6</f>
        <v>2027</v>
      </c>
      <c r="AC6" s="20">
        <f>Drivers!AC$6</f>
        <v>2027</v>
      </c>
      <c r="AD6" s="20">
        <f>Drivers!AD$6</f>
        <v>2028</v>
      </c>
      <c r="AE6" s="20">
        <f>Drivers!AE$6</f>
        <v>2028</v>
      </c>
      <c r="AF6" s="20">
        <f>Drivers!AF$6</f>
        <v>2028</v>
      </c>
      <c r="AG6" s="20">
        <f>Drivers!AG$6</f>
        <v>2028</v>
      </c>
      <c r="AH6" s="20">
        <f>Drivers!AH$6</f>
        <v>2029</v>
      </c>
      <c r="AI6" s="20">
        <f>Drivers!AI$6</f>
        <v>2029</v>
      </c>
      <c r="AJ6" s="20">
        <f>Drivers!AJ$6</f>
        <v>2029</v>
      </c>
      <c r="AK6" s="20">
        <f>Drivers!AK$6</f>
        <v>2029</v>
      </c>
    </row>
    <row r="7" spans="1:37" x14ac:dyDescent="0.45">
      <c r="A7" s="12" t="s">
        <v>283</v>
      </c>
      <c r="B7" s="3" t="s">
        <v>284</v>
      </c>
      <c r="C7" s="12"/>
      <c r="E7" s="20">
        <f>Drivers!E$7</f>
        <v>4</v>
      </c>
      <c r="F7" s="20">
        <f>Drivers!F$7</f>
        <v>1</v>
      </c>
      <c r="G7" s="20">
        <f>Drivers!G$7</f>
        <v>2</v>
      </c>
      <c r="H7" s="20">
        <f>Drivers!H$7</f>
        <v>3</v>
      </c>
      <c r="I7" s="20">
        <f>Drivers!I$7</f>
        <v>4</v>
      </c>
      <c r="J7" s="20">
        <f>Drivers!J$7</f>
        <v>1</v>
      </c>
      <c r="K7" s="20">
        <f>Drivers!K$7</f>
        <v>2</v>
      </c>
      <c r="L7" s="20">
        <f>Drivers!L$7</f>
        <v>3</v>
      </c>
      <c r="M7" s="20">
        <f>Drivers!M$7</f>
        <v>4</v>
      </c>
      <c r="N7" s="20">
        <f>Drivers!N$7</f>
        <v>1</v>
      </c>
      <c r="O7" s="20">
        <f>Drivers!O$7</f>
        <v>2</v>
      </c>
      <c r="P7" s="20">
        <f>Drivers!P$7</f>
        <v>3</v>
      </c>
      <c r="Q7" s="20">
        <f>Drivers!Q$7</f>
        <v>4</v>
      </c>
      <c r="R7" s="20">
        <f>Drivers!R$7</f>
        <v>1</v>
      </c>
      <c r="S7" s="20">
        <f>Drivers!S$7</f>
        <v>2</v>
      </c>
      <c r="T7" s="20">
        <f>Drivers!T$7</f>
        <v>3</v>
      </c>
      <c r="U7" s="20">
        <f>Drivers!U$7</f>
        <v>4</v>
      </c>
      <c r="V7" s="20">
        <f>Drivers!V$7</f>
        <v>1</v>
      </c>
      <c r="W7" s="20">
        <f>Drivers!W$7</f>
        <v>2</v>
      </c>
      <c r="X7" s="20">
        <f>Drivers!X$7</f>
        <v>3</v>
      </c>
      <c r="Y7" s="20">
        <f>Drivers!Y$7</f>
        <v>4</v>
      </c>
      <c r="Z7" s="20">
        <f>Drivers!Z$7</f>
        <v>1</v>
      </c>
      <c r="AA7" s="20">
        <f>Drivers!AA$7</f>
        <v>2</v>
      </c>
      <c r="AB7" s="20">
        <f>Drivers!AB$7</f>
        <v>3</v>
      </c>
      <c r="AC7" s="20">
        <f>Drivers!AC$7</f>
        <v>4</v>
      </c>
      <c r="AD7" s="20">
        <f>Drivers!AD$7</f>
        <v>1</v>
      </c>
      <c r="AE7" s="20">
        <f>Drivers!AE$7</f>
        <v>2</v>
      </c>
      <c r="AF7" s="20">
        <f>Drivers!AF$7</f>
        <v>3</v>
      </c>
      <c r="AG7" s="20">
        <f>Drivers!AG$7</f>
        <v>4</v>
      </c>
      <c r="AH7" s="20">
        <f>Drivers!AH$7</f>
        <v>1</v>
      </c>
      <c r="AI7" s="20">
        <f>Drivers!AI$7</f>
        <v>2</v>
      </c>
      <c r="AJ7" s="20">
        <f>Drivers!AJ$7</f>
        <v>3</v>
      </c>
      <c r="AK7" s="20">
        <f>Drivers!AK$7</f>
        <v>4</v>
      </c>
    </row>
    <row r="8" spans="1:37" x14ac:dyDescent="0.45">
      <c r="A8" s="12" t="s">
        <v>285</v>
      </c>
      <c r="B8" s="3" t="s">
        <v>286</v>
      </c>
      <c r="C8" s="12"/>
      <c r="E8" s="47">
        <f>Drivers!E$8</f>
        <v>44561</v>
      </c>
      <c r="F8" s="47">
        <f>Drivers!F$8</f>
        <v>44651</v>
      </c>
      <c r="G8" s="47">
        <f>Drivers!G$8</f>
        <v>44742</v>
      </c>
      <c r="H8" s="47">
        <f>Drivers!H$8</f>
        <v>44834</v>
      </c>
      <c r="I8" s="47">
        <f>Drivers!I$8</f>
        <v>44926</v>
      </c>
      <c r="J8" s="47">
        <f>Drivers!J$8</f>
        <v>45016</v>
      </c>
      <c r="K8" s="47">
        <f>Drivers!K$8</f>
        <v>45107</v>
      </c>
      <c r="L8" s="47">
        <f>Drivers!L$8</f>
        <v>45199</v>
      </c>
      <c r="M8" s="47">
        <f>Drivers!M$8</f>
        <v>45291</v>
      </c>
      <c r="N8" s="47">
        <f>Drivers!N$8</f>
        <v>45382</v>
      </c>
      <c r="O8" s="47">
        <f>Drivers!O$8</f>
        <v>45473</v>
      </c>
      <c r="P8" s="47">
        <f>Drivers!P$8</f>
        <v>45565</v>
      </c>
      <c r="Q8" s="47">
        <f>Drivers!Q$8</f>
        <v>45657</v>
      </c>
      <c r="R8" s="47">
        <f>Drivers!R$8</f>
        <v>45747</v>
      </c>
      <c r="S8" s="47">
        <f>Drivers!S$8</f>
        <v>45838</v>
      </c>
      <c r="T8" s="47">
        <f>Drivers!T$8</f>
        <v>45930</v>
      </c>
      <c r="U8" s="47">
        <f>Drivers!U$8</f>
        <v>46022</v>
      </c>
      <c r="V8" s="47">
        <f>Drivers!V$8</f>
        <v>46112</v>
      </c>
      <c r="W8" s="47">
        <f>Drivers!W$8</f>
        <v>46203</v>
      </c>
      <c r="X8" s="47">
        <f>Drivers!X$8</f>
        <v>46295</v>
      </c>
      <c r="Y8" s="47">
        <f>Drivers!Y$8</f>
        <v>46387</v>
      </c>
      <c r="Z8" s="47">
        <f>Drivers!Z$8</f>
        <v>46477</v>
      </c>
      <c r="AA8" s="47">
        <f>Drivers!AA$8</f>
        <v>46568</v>
      </c>
      <c r="AB8" s="47">
        <f>Drivers!AB$8</f>
        <v>46660</v>
      </c>
      <c r="AC8" s="47">
        <f>Drivers!AC$8</f>
        <v>46752</v>
      </c>
      <c r="AD8" s="47">
        <f>Drivers!AD$8</f>
        <v>46843</v>
      </c>
      <c r="AE8" s="47">
        <f>Drivers!AE$8</f>
        <v>46934</v>
      </c>
      <c r="AF8" s="47">
        <f>Drivers!AF$8</f>
        <v>47026</v>
      </c>
      <c r="AG8" s="47">
        <f>Drivers!AG$8</f>
        <v>47118</v>
      </c>
      <c r="AH8" s="47">
        <f>Drivers!AH$8</f>
        <v>47208</v>
      </c>
      <c r="AI8" s="47">
        <f>Drivers!AI$8</f>
        <v>47299</v>
      </c>
      <c r="AJ8" s="47">
        <f>Drivers!AJ$8</f>
        <v>47391</v>
      </c>
      <c r="AK8" s="47">
        <f>Drivers!AK$8</f>
        <v>47483</v>
      </c>
    </row>
    <row r="9" spans="1:37" x14ac:dyDescent="0.45">
      <c r="A9" s="21"/>
      <c r="B9" s="22" t="s">
        <v>617</v>
      </c>
      <c r="C9" s="21"/>
      <c r="D9" s="21"/>
      <c r="E9" s="21"/>
      <c r="F9" s="21"/>
      <c r="G9" s="21"/>
      <c r="H9" s="21"/>
      <c r="I9" s="21"/>
      <c r="J9" s="21"/>
      <c r="K9" s="21"/>
      <c r="L9" s="21"/>
      <c r="M9" s="21"/>
      <c r="N9" s="21"/>
      <c r="O9" s="21"/>
      <c r="P9" s="21"/>
      <c r="Q9" s="21"/>
      <c r="R9" s="21"/>
      <c r="S9" s="21"/>
      <c r="T9" s="21"/>
      <c r="U9" s="21"/>
      <c r="V9" s="21"/>
      <c r="W9" s="21"/>
      <c r="X9" s="21"/>
      <c r="Y9" s="21"/>
      <c r="Z9" s="21"/>
      <c r="AA9" s="21"/>
      <c r="AB9" s="21"/>
      <c r="AC9" s="21"/>
      <c r="AD9" s="21"/>
      <c r="AE9" s="21"/>
      <c r="AF9" s="21"/>
      <c r="AG9" s="21"/>
      <c r="AH9" s="21"/>
      <c r="AI9" s="21"/>
      <c r="AJ9" s="21"/>
      <c r="AK9" s="21"/>
    </row>
    <row r="10" spans="1:37" x14ac:dyDescent="0.45">
      <c r="A10" s="12" t="s">
        <v>259</v>
      </c>
      <c r="B10" s="3" t="s">
        <v>618</v>
      </c>
      <c r="C10" s="12" t="s">
        <v>259</v>
      </c>
      <c r="E10" s="61">
        <f>Drivers!E$9</f>
        <v>92</v>
      </c>
      <c r="F10" s="61">
        <f>Drivers!F$9</f>
        <v>90</v>
      </c>
      <c r="G10" s="61">
        <f>Drivers!G$9</f>
        <v>91</v>
      </c>
      <c r="H10" s="61">
        <f>Drivers!H$9</f>
        <v>92</v>
      </c>
      <c r="I10" s="61">
        <f>Drivers!I$9</f>
        <v>92</v>
      </c>
      <c r="J10" s="61">
        <f>Drivers!J$9</f>
        <v>90</v>
      </c>
      <c r="K10" s="61">
        <f>Drivers!K$9</f>
        <v>91</v>
      </c>
      <c r="L10" s="61">
        <f>Drivers!L$9</f>
        <v>92</v>
      </c>
      <c r="M10" s="61">
        <f>Drivers!M$9</f>
        <v>92</v>
      </c>
      <c r="N10" s="61">
        <f>Drivers!N$9</f>
        <v>91</v>
      </c>
      <c r="O10" s="61">
        <f>Drivers!O$9</f>
        <v>91</v>
      </c>
      <c r="P10" s="61">
        <f>Drivers!P$9</f>
        <v>92</v>
      </c>
      <c r="Q10" s="61">
        <f>Drivers!Q$9</f>
        <v>92</v>
      </c>
      <c r="R10" s="61">
        <f>Drivers!R$9</f>
        <v>90</v>
      </c>
      <c r="S10" s="61">
        <f>Drivers!S$9</f>
        <v>91</v>
      </c>
      <c r="T10" s="61">
        <f>Drivers!T$9</f>
        <v>92</v>
      </c>
      <c r="U10" s="61">
        <f>Drivers!U$9</f>
        <v>92</v>
      </c>
      <c r="V10" s="61">
        <f>Drivers!V$9</f>
        <v>90</v>
      </c>
      <c r="W10" s="61">
        <f>Drivers!W$9</f>
        <v>91</v>
      </c>
      <c r="X10" s="61">
        <f>Drivers!X$9</f>
        <v>92</v>
      </c>
      <c r="Y10" s="61">
        <f>Drivers!Y$9</f>
        <v>92</v>
      </c>
      <c r="Z10" s="61">
        <f>Drivers!Z$9</f>
        <v>90</v>
      </c>
      <c r="AA10" s="61">
        <f>Drivers!AA$9</f>
        <v>91</v>
      </c>
      <c r="AB10" s="61">
        <f>Drivers!AB$9</f>
        <v>92</v>
      </c>
      <c r="AC10" s="61">
        <f>Drivers!AC$9</f>
        <v>92</v>
      </c>
      <c r="AD10" s="61">
        <f>Drivers!AD$9</f>
        <v>91</v>
      </c>
      <c r="AE10" s="61">
        <f>Drivers!AE$9</f>
        <v>91</v>
      </c>
      <c r="AF10" s="61">
        <f>Drivers!AF$9</f>
        <v>92</v>
      </c>
      <c r="AG10" s="61">
        <f>Drivers!AG$9</f>
        <v>92</v>
      </c>
      <c r="AH10" s="61">
        <f>Drivers!AH$9</f>
        <v>90</v>
      </c>
      <c r="AI10" s="61">
        <f>Drivers!AI$9</f>
        <v>91</v>
      </c>
      <c r="AJ10" s="61">
        <f>Drivers!AJ$9</f>
        <v>92</v>
      </c>
      <c r="AK10" s="61">
        <f>Drivers!AK$9</f>
        <v>92</v>
      </c>
    </row>
    <row r="11" spans="1:37" x14ac:dyDescent="0.45">
      <c r="A11" s="12" t="s">
        <v>619</v>
      </c>
      <c r="B11" s="3" t="s">
        <v>69</v>
      </c>
      <c r="C11" s="12" t="s">
        <v>70</v>
      </c>
      <c r="E11" s="13">
        <f>IS!E13</f>
        <v>512</v>
      </c>
      <c r="F11" s="13">
        <f>IS!F13</f>
        <v>535</v>
      </c>
      <c r="G11" s="13">
        <f>IS!G13</f>
        <v>675</v>
      </c>
      <c r="H11" s="13">
        <f>IS!H13</f>
        <v>752</v>
      </c>
      <c r="I11" s="13">
        <f>IS!I13</f>
        <v>768</v>
      </c>
      <c r="J11" s="13">
        <f>IS!J13</f>
        <v>819</v>
      </c>
      <c r="K11" s="13">
        <f>IS!K13</f>
        <v>978</v>
      </c>
      <c r="L11" s="13">
        <f>IS!L13</f>
        <v>1032</v>
      </c>
      <c r="M11" s="13">
        <f>IS!M13</f>
        <v>1036</v>
      </c>
      <c r="N11" s="13">
        <f>IS!N13</f>
        <v>1075</v>
      </c>
      <c r="O11" s="13">
        <f>IS!O13</f>
        <v>1242</v>
      </c>
      <c r="P11" s="13">
        <f>IS!P13</f>
        <v>1305</v>
      </c>
      <c r="Q11" s="13">
        <f>IS!Q13</f>
        <v>1338</v>
      </c>
      <c r="R11" s="13">
        <f>IS!R13</f>
        <v>1337</v>
      </c>
      <c r="S11" s="13">
        <f>IS!S13</f>
        <v>1550</v>
      </c>
      <c r="T11" s="13">
        <f>IS!T13</f>
        <v>1633</v>
      </c>
      <c r="U11" s="13">
        <f>IS!U13</f>
        <v>1633</v>
      </c>
      <c r="V11" s="13">
        <f>IS!V13</f>
        <v>1630</v>
      </c>
      <c r="W11" s="13">
        <f>IS!W13</f>
        <v>1908</v>
      </c>
      <c r="X11" s="13">
        <f>IS!X13</f>
        <v>1985.9157827205881</v>
      </c>
      <c r="Y11" s="13">
        <f>IS!Y13</f>
        <v>1976.4654104117644</v>
      </c>
      <c r="Z11" s="13">
        <f>IS!Z13</f>
        <v>1954.7194355136085</v>
      </c>
      <c r="AA11" s="13">
        <f>IS!AA13</f>
        <v>2277.9131675565609</v>
      </c>
      <c r="AB11" s="13">
        <f>IS!AB13</f>
        <v>2356.9586150282503</v>
      </c>
      <c r="AC11" s="13">
        <f>IS!AC13</f>
        <v>2333.2355588008272</v>
      </c>
      <c r="AD11" s="13">
        <f>IS!AD13</f>
        <v>2300.1212086830556</v>
      </c>
      <c r="AE11" s="13">
        <f>IS!AE13</f>
        <v>2662.7263230182666</v>
      </c>
      <c r="AF11" s="13">
        <f>IS!AF13</f>
        <v>2741.0923604386021</v>
      </c>
      <c r="AG11" s="13">
        <f>IS!AG13</f>
        <v>2700.029803825827</v>
      </c>
      <c r="AH11" s="13">
        <f>IS!AH13</f>
        <v>2649.7920720073739</v>
      </c>
      <c r="AI11" s="13">
        <f>IS!AI13</f>
        <v>3052.0914611794865</v>
      </c>
      <c r="AJ11" s="13">
        <f>IS!AJ13</f>
        <v>3129.6904526096696</v>
      </c>
      <c r="AK11" s="13">
        <f>IS!AK13</f>
        <v>3071.1039113499151</v>
      </c>
    </row>
    <row r="12" spans="1:37" x14ac:dyDescent="0.45">
      <c r="A12" s="12" t="s">
        <v>620</v>
      </c>
      <c r="B12" s="3" t="s">
        <v>444</v>
      </c>
      <c r="C12" s="12" t="s">
        <v>70</v>
      </c>
      <c r="E12" s="13">
        <f>IS!E19</f>
        <v>439</v>
      </c>
      <c r="F12" s="13">
        <f>IS!F19</f>
        <v>446</v>
      </c>
      <c r="G12" s="13">
        <f>IS!G19</f>
        <v>562</v>
      </c>
      <c r="H12" s="13">
        <f>IS!H19</f>
        <v>601</v>
      </c>
      <c r="I12" s="13">
        <f>IS!I19</f>
        <v>610</v>
      </c>
      <c r="J12" s="13">
        <f>IS!J19</f>
        <v>645</v>
      </c>
      <c r="K12" s="13">
        <f>IS!K19</f>
        <v>770</v>
      </c>
      <c r="L12" s="13">
        <f>IS!L19</f>
        <v>806</v>
      </c>
      <c r="M12" s="13">
        <f>IS!M19</f>
        <v>810</v>
      </c>
      <c r="N12" s="13">
        <f>IS!N19</f>
        <v>826</v>
      </c>
      <c r="O12" s="13">
        <f>IS!O19</f>
        <v>956</v>
      </c>
      <c r="P12" s="13">
        <f>IS!P19</f>
        <v>983</v>
      </c>
      <c r="Q12" s="13">
        <f>IS!Q19</f>
        <v>1005</v>
      </c>
      <c r="R12" s="13">
        <f>IS!R19</f>
        <v>991</v>
      </c>
      <c r="S12" s="13">
        <f>IS!S19</f>
        <v>1158</v>
      </c>
      <c r="T12" s="13">
        <f>IS!T19</f>
        <v>1201</v>
      </c>
      <c r="U12" s="13">
        <f>IS!U19</f>
        <v>1210</v>
      </c>
      <c r="V12" s="13">
        <f>IS!V19</f>
        <v>1183</v>
      </c>
      <c r="W12" s="13">
        <f>IS!W19</f>
        <v>1392</v>
      </c>
      <c r="X12" s="13">
        <f>IS!X19</f>
        <v>1427.1783186580885</v>
      </c>
      <c r="Y12" s="13">
        <f>IS!Y19</f>
        <v>1431.4836042205882</v>
      </c>
      <c r="Z12" s="13">
        <f>IS!Z19</f>
        <v>1376.0302485952589</v>
      </c>
      <c r="AA12" s="13">
        <f>IS!AA19</f>
        <v>1644.0214552488687</v>
      </c>
      <c r="AB12" s="13">
        <f>IS!AB19</f>
        <v>1666.8610101614552</v>
      </c>
      <c r="AC12" s="13">
        <f>IS!AC19</f>
        <v>1662.4453116586399</v>
      </c>
      <c r="AD12" s="13">
        <f>IS!AD19</f>
        <v>1596.3011610865676</v>
      </c>
      <c r="AE12" s="13">
        <f>IS!AE19</f>
        <v>1894.20679480543</v>
      </c>
      <c r="AF12" s="13">
        <f>IS!AF19</f>
        <v>1913.2406623900442</v>
      </c>
      <c r="AG12" s="13">
        <f>IS!AG19</f>
        <v>1898.0096277554228</v>
      </c>
      <c r="AH12" s="13">
        <f>IS!AH19</f>
        <v>1819.7469559334295</v>
      </c>
      <c r="AI12" s="13">
        <f>IS!AI19</f>
        <v>2147.8309767188066</v>
      </c>
      <c r="AJ12" s="13">
        <f>IS!AJ19</f>
        <v>2163.1291701260475</v>
      </c>
      <c r="AK12" s="13">
        <f>IS!AK19</f>
        <v>2137.077978105543</v>
      </c>
    </row>
    <row r="13" spans="1:37" x14ac:dyDescent="0.45">
      <c r="A13" s="12" t="s">
        <v>408</v>
      </c>
      <c r="B13" s="3" t="s">
        <v>621</v>
      </c>
      <c r="C13" s="12" t="s">
        <v>70</v>
      </c>
      <c r="E13" s="13">
        <f>Rev_Build!E50</f>
        <v>75</v>
      </c>
      <c r="F13" s="13">
        <f>Rev_Build!F50</f>
        <v>73</v>
      </c>
      <c r="G13" s="13">
        <f>Rev_Build!G50</f>
        <v>86</v>
      </c>
      <c r="H13" s="13">
        <f>Rev_Build!H50</f>
        <v>77</v>
      </c>
      <c r="I13" s="13">
        <f>Rev_Build!I50</f>
        <v>75</v>
      </c>
      <c r="J13" s="13">
        <f>Rev_Build!J50</f>
        <v>85</v>
      </c>
      <c r="K13" s="13">
        <f>Rev_Build!K50</f>
        <v>99</v>
      </c>
      <c r="L13" s="13">
        <f>Rev_Build!L50</f>
        <v>88</v>
      </c>
      <c r="M13" s="13">
        <f>Rev_Build!M50</f>
        <v>86</v>
      </c>
      <c r="N13" s="13">
        <f>Rev_Build!N50</f>
        <v>92</v>
      </c>
      <c r="O13" s="13">
        <f>Rev_Build!O50</f>
        <v>96</v>
      </c>
      <c r="P13" s="13">
        <f>Rev_Build!P50</f>
        <v>91</v>
      </c>
      <c r="Q13" s="13">
        <f>Rev_Build!Q50</f>
        <v>92</v>
      </c>
      <c r="R13" s="13">
        <f>Rev_Build!R50</f>
        <v>93</v>
      </c>
      <c r="S13" s="13">
        <f>Rev_Build!S50</f>
        <v>101</v>
      </c>
      <c r="T13" s="13">
        <f>Rev_Build!T50</f>
        <v>101</v>
      </c>
      <c r="U13" s="13">
        <f>Rev_Build!U50</f>
        <v>105</v>
      </c>
      <c r="V13" s="13">
        <f>Rev_Build!V50</f>
        <v>111</v>
      </c>
      <c r="W13" s="13">
        <f>Rev_Build!W50</f>
        <v>116</v>
      </c>
      <c r="X13" s="13">
        <f>Rev_Build!X50</f>
        <v>110.06470588235294</v>
      </c>
      <c r="Y13" s="13">
        <f>Rev_Build!Y50</f>
        <v>115.30588235294118</v>
      </c>
      <c r="Z13" s="13">
        <f>Rev_Build!Z50</f>
        <v>95.76</v>
      </c>
      <c r="AA13" s="13">
        <f>Rev_Build!AA50</f>
        <v>127.68</v>
      </c>
      <c r="AB13" s="13">
        <f>Rev_Build!AB50</f>
        <v>111.72</v>
      </c>
      <c r="AC13" s="13">
        <f>Rev_Build!AC50</f>
        <v>117.04</v>
      </c>
      <c r="AD13" s="13">
        <f>Rev_Build!AD50</f>
        <v>94.32</v>
      </c>
      <c r="AE13" s="13">
        <f>Rev_Build!AE50</f>
        <v>125.76</v>
      </c>
      <c r="AF13" s="13">
        <f>Rev_Build!AF50</f>
        <v>110.04</v>
      </c>
      <c r="AG13" s="13">
        <f>Rev_Build!AG50</f>
        <v>115.28</v>
      </c>
      <c r="AH13" s="13">
        <f>Rev_Build!AH50</f>
        <v>92.88</v>
      </c>
      <c r="AI13" s="13">
        <f>Rev_Build!AI50</f>
        <v>123.84</v>
      </c>
      <c r="AJ13" s="13">
        <f>Rev_Build!AJ50</f>
        <v>108.36</v>
      </c>
      <c r="AK13" s="13">
        <f>Rev_Build!AK50</f>
        <v>113.52</v>
      </c>
    </row>
    <row r="14" spans="1:37" x14ac:dyDescent="0.45">
      <c r="A14" s="12" t="s">
        <v>350</v>
      </c>
      <c r="B14" s="3" t="s">
        <v>622</v>
      </c>
      <c r="C14" s="12" t="s">
        <v>70</v>
      </c>
      <c r="E14" s="13">
        <f>Rev_Build!E17</f>
        <v>54</v>
      </c>
      <c r="F14" s="13">
        <f>Rev_Build!F17</f>
        <v>63</v>
      </c>
      <c r="G14" s="13">
        <f>Rev_Build!G17</f>
        <v>76</v>
      </c>
      <c r="H14" s="13">
        <f>Rev_Build!H17</f>
        <v>90</v>
      </c>
      <c r="I14" s="13">
        <f>Rev_Build!I17</f>
        <v>94</v>
      </c>
      <c r="J14" s="13">
        <f>Rev_Build!J17</f>
        <v>107</v>
      </c>
      <c r="K14" s="13">
        <f>Rev_Build!K17</f>
        <v>121</v>
      </c>
      <c r="L14" s="13">
        <f>Rev_Build!L17</f>
        <v>131</v>
      </c>
      <c r="M14" s="13">
        <f>Rev_Build!M17</f>
        <v>142</v>
      </c>
      <c r="N14" s="13">
        <f>Rev_Build!N17</f>
        <v>151</v>
      </c>
      <c r="O14" s="13">
        <f>Rev_Build!O17</f>
        <v>166</v>
      </c>
      <c r="P14" s="13">
        <f>Rev_Build!P17</f>
        <v>189</v>
      </c>
      <c r="Q14" s="13">
        <f>Rev_Build!Q17</f>
        <v>200</v>
      </c>
      <c r="R14" s="13">
        <f>Rev_Build!R17</f>
        <v>209</v>
      </c>
      <c r="S14" s="13">
        <f>Rev_Build!S17</f>
        <v>227</v>
      </c>
      <c r="T14" s="13">
        <f>Rev_Build!T17</f>
        <v>244</v>
      </c>
      <c r="U14" s="13">
        <f>Rev_Build!U17</f>
        <v>256</v>
      </c>
      <c r="V14" s="13">
        <f>Rev_Build!V17</f>
        <v>268</v>
      </c>
      <c r="W14" s="13">
        <f>Rev_Build!W17</f>
        <v>290</v>
      </c>
      <c r="X14" s="13">
        <f>Rev_Build!X17</f>
        <v>308.78827941176473</v>
      </c>
      <c r="Y14" s="13">
        <f>Rev_Build!Y17</f>
        <v>321.73214117647058</v>
      </c>
      <c r="Z14" s="13">
        <f>Rev_Build!Z17</f>
        <v>333.2894117647059</v>
      </c>
      <c r="AA14" s="13">
        <f>Rev_Build!AA17</f>
        <v>358.64470588235298</v>
      </c>
      <c r="AB14" s="13">
        <f>Rev_Build!AB17</f>
        <v>379.7891576470588</v>
      </c>
      <c r="AC14" s="13">
        <f>Rev_Build!AC17</f>
        <v>393.49831529411767</v>
      </c>
      <c r="AD14" s="13">
        <f>Rev_Build!AD17</f>
        <v>403.5107011764706</v>
      </c>
      <c r="AE14" s="13">
        <f>Rev_Build!AE17</f>
        <v>431.67193725490199</v>
      </c>
      <c r="AF14" s="13">
        <f>Rev_Build!AF17</f>
        <v>454.47425216470583</v>
      </c>
      <c r="AG14" s="13">
        <f>Rev_Build!AG17</f>
        <v>468.46194352941177</v>
      </c>
      <c r="AH14" s="13">
        <f>Rev_Build!AH17</f>
        <v>475.92886701176462</v>
      </c>
      <c r="AI14" s="13">
        <f>Rev_Build!AI17</f>
        <v>506.91100203921559</v>
      </c>
      <c r="AJ14" s="13">
        <f>Rev_Build!AJ17</f>
        <v>531.34272794964693</v>
      </c>
      <c r="AK14" s="13">
        <f>Rev_Build!AK17</f>
        <v>545.54272465129418</v>
      </c>
    </row>
    <row r="15" spans="1:37" x14ac:dyDescent="0.45">
      <c r="A15" s="12" t="s">
        <v>623</v>
      </c>
      <c r="B15" s="57" t="s">
        <v>624</v>
      </c>
      <c r="C15" s="12" t="s">
        <v>259</v>
      </c>
      <c r="E15" s="54">
        <f t="shared" ref="E15:W15" si="0">E16/E11*E10</f>
        <v>9.8828125</v>
      </c>
      <c r="F15" s="54">
        <f t="shared" si="0"/>
        <v>9.4205607476635524</v>
      </c>
      <c r="G15" s="54">
        <f t="shared" si="0"/>
        <v>9.1674074074074081</v>
      </c>
      <c r="H15" s="54">
        <f t="shared" si="0"/>
        <v>9.5425531914893611</v>
      </c>
      <c r="I15" s="54">
        <f t="shared" si="0"/>
        <v>9.2239583333333339</v>
      </c>
      <c r="J15" s="54">
        <f t="shared" si="0"/>
        <v>10.659340659340659</v>
      </c>
      <c r="K15" s="54">
        <f t="shared" si="0"/>
        <v>10.700408997955011</v>
      </c>
      <c r="L15" s="54">
        <f t="shared" si="0"/>
        <v>8.4689922480620154</v>
      </c>
      <c r="M15" s="54">
        <f t="shared" si="0"/>
        <v>6.1274131274131278</v>
      </c>
      <c r="N15" s="54">
        <f t="shared" si="0"/>
        <v>7.28</v>
      </c>
      <c r="O15" s="54">
        <f t="shared" si="0"/>
        <v>7.4001610305958136</v>
      </c>
      <c r="P15" s="54">
        <f t="shared" si="0"/>
        <v>7.4022988505747129</v>
      </c>
      <c r="Q15" s="54">
        <f t="shared" si="0"/>
        <v>7.9073243647234674</v>
      </c>
      <c r="R15" s="54">
        <f t="shared" si="0"/>
        <v>7.9431563201196713</v>
      </c>
      <c r="S15" s="54">
        <f t="shared" si="0"/>
        <v>7.1038709677419352</v>
      </c>
      <c r="T15" s="54">
        <f t="shared" si="0"/>
        <v>6.816901408450704</v>
      </c>
      <c r="U15" s="54">
        <f t="shared" si="0"/>
        <v>7.154929577464789</v>
      </c>
      <c r="V15" s="54">
        <f t="shared" si="0"/>
        <v>7.6196319018404903</v>
      </c>
      <c r="W15" s="54">
        <f t="shared" si="0"/>
        <v>6.7725366876310282</v>
      </c>
      <c r="X15" s="32">
        <f>Drivers!X45</f>
        <v>7</v>
      </c>
      <c r="Y15" s="32">
        <f>Drivers!Y45</f>
        <v>7</v>
      </c>
      <c r="Z15" s="32">
        <f>Drivers!Z45</f>
        <v>7</v>
      </c>
      <c r="AA15" s="32">
        <f>Drivers!AA45</f>
        <v>7</v>
      </c>
      <c r="AB15" s="32">
        <f>Drivers!AB45</f>
        <v>7</v>
      </c>
      <c r="AC15" s="32">
        <f>Drivers!AC45</f>
        <v>7</v>
      </c>
      <c r="AD15" s="32">
        <f>Drivers!AD45</f>
        <v>7</v>
      </c>
      <c r="AE15" s="32">
        <f>Drivers!AE45</f>
        <v>7</v>
      </c>
      <c r="AF15" s="32">
        <f>Drivers!AF45</f>
        <v>7</v>
      </c>
      <c r="AG15" s="32">
        <f>Drivers!AG45</f>
        <v>7</v>
      </c>
      <c r="AH15" s="32">
        <f>Drivers!AH45</f>
        <v>7</v>
      </c>
      <c r="AI15" s="32">
        <f>Drivers!AI45</f>
        <v>7</v>
      </c>
      <c r="AJ15" s="32">
        <f>Drivers!AJ45</f>
        <v>7</v>
      </c>
      <c r="AK15" s="32">
        <f>Drivers!AK45</f>
        <v>7</v>
      </c>
    </row>
    <row r="16" spans="1:37" x14ac:dyDescent="0.45">
      <c r="A16" s="12" t="s">
        <v>525</v>
      </c>
      <c r="B16" s="3" t="s">
        <v>625</v>
      </c>
      <c r="C16" s="12" t="s">
        <v>70</v>
      </c>
      <c r="E16" s="13">
        <f>BS!E12</f>
        <v>55</v>
      </c>
      <c r="F16" s="13">
        <f>BS!F12</f>
        <v>56</v>
      </c>
      <c r="G16" s="13">
        <f>BS!G12</f>
        <v>68</v>
      </c>
      <c r="H16" s="13">
        <f>BS!H12</f>
        <v>78</v>
      </c>
      <c r="I16" s="13">
        <f>BS!I12</f>
        <v>77</v>
      </c>
      <c r="J16" s="13">
        <f>BS!J12</f>
        <v>97</v>
      </c>
      <c r="K16" s="13">
        <f>BS!K12</f>
        <v>115</v>
      </c>
      <c r="L16" s="13">
        <f>BS!L12</f>
        <v>95</v>
      </c>
      <c r="M16" s="13">
        <f>BS!M12</f>
        <v>69</v>
      </c>
      <c r="N16" s="13">
        <f>BS!N12</f>
        <v>86</v>
      </c>
      <c r="O16" s="13">
        <f>BS!O12</f>
        <v>101</v>
      </c>
      <c r="P16" s="13">
        <f>BS!P12</f>
        <v>105</v>
      </c>
      <c r="Q16" s="13">
        <f>BS!Q12</f>
        <v>115</v>
      </c>
      <c r="R16" s="13">
        <f>BS!R12</f>
        <v>118</v>
      </c>
      <c r="S16" s="13">
        <f>BS!S12</f>
        <v>121</v>
      </c>
      <c r="T16" s="13">
        <f>BS!T12</f>
        <v>121</v>
      </c>
      <c r="U16" s="13">
        <f>BS!U12</f>
        <v>127</v>
      </c>
      <c r="V16" s="13">
        <f>BS!V12</f>
        <v>138</v>
      </c>
      <c r="W16" s="13">
        <f>BS!W12</f>
        <v>142</v>
      </c>
      <c r="X16" s="50">
        <f t="shared" ref="X16:AK16" si="1">X11*X15/X10</f>
        <v>151.10228781569691</v>
      </c>
      <c r="Y16" s="50">
        <f t="shared" si="1"/>
        <v>150.3832377487212</v>
      </c>
      <c r="Z16" s="50">
        <f t="shared" si="1"/>
        <v>152.03373387328065</v>
      </c>
      <c r="AA16" s="50">
        <f t="shared" si="1"/>
        <v>175.22408981204316</v>
      </c>
      <c r="AB16" s="50">
        <f t="shared" si="1"/>
        <v>179.33380766519298</v>
      </c>
      <c r="AC16" s="50">
        <f t="shared" si="1"/>
        <v>177.52879251745426</v>
      </c>
      <c r="AD16" s="50">
        <f t="shared" si="1"/>
        <v>176.93240066792734</v>
      </c>
      <c r="AE16" s="50">
        <f t="shared" si="1"/>
        <v>204.82510177063591</v>
      </c>
      <c r="AF16" s="50">
        <f t="shared" si="1"/>
        <v>208.56137525076321</v>
      </c>
      <c r="AG16" s="50">
        <f t="shared" si="1"/>
        <v>205.43705029109555</v>
      </c>
      <c r="AH16" s="50">
        <f t="shared" si="1"/>
        <v>206.09493893390686</v>
      </c>
      <c r="AI16" s="50">
        <f t="shared" si="1"/>
        <v>234.77626624457588</v>
      </c>
      <c r="AJ16" s="50">
        <f t="shared" si="1"/>
        <v>238.12862139421398</v>
      </c>
      <c r="AK16" s="50">
        <f t="shared" si="1"/>
        <v>233.67094977662398</v>
      </c>
    </row>
    <row r="17" spans="1:37" x14ac:dyDescent="0.45">
      <c r="A17" s="12" t="s">
        <v>626</v>
      </c>
      <c r="B17" s="57" t="s">
        <v>627</v>
      </c>
      <c r="C17" s="12" t="s">
        <v>259</v>
      </c>
      <c r="E17" s="54">
        <f t="shared" ref="E17:W17" si="2">E18/E13*E10</f>
        <v>51.52</v>
      </c>
      <c r="F17" s="54">
        <f t="shared" si="2"/>
        <v>54.246575342465754</v>
      </c>
      <c r="G17" s="54">
        <f t="shared" si="2"/>
        <v>65.604651162790688</v>
      </c>
      <c r="H17" s="54">
        <f t="shared" si="2"/>
        <v>113.50649350649351</v>
      </c>
      <c r="I17" s="54">
        <f t="shared" si="2"/>
        <v>134.93333333333334</v>
      </c>
      <c r="J17" s="54">
        <f t="shared" si="2"/>
        <v>118.58823529411765</v>
      </c>
      <c r="K17" s="54">
        <f t="shared" si="2"/>
        <v>98.353535353535364</v>
      </c>
      <c r="L17" s="54">
        <f t="shared" si="2"/>
        <v>102.45454545454544</v>
      </c>
      <c r="M17" s="54">
        <f t="shared" si="2"/>
        <v>126.23255813953489</v>
      </c>
      <c r="N17" s="54">
        <f t="shared" si="2"/>
        <v>118.69565217391305</v>
      </c>
      <c r="O17" s="54">
        <f t="shared" si="2"/>
        <v>104.27083333333333</v>
      </c>
      <c r="P17" s="54">
        <f t="shared" si="2"/>
        <v>107.16483516483517</v>
      </c>
      <c r="Q17" s="54">
        <f t="shared" si="2"/>
        <v>118</v>
      </c>
      <c r="R17" s="54">
        <f t="shared" si="2"/>
        <v>107.41935483870968</v>
      </c>
      <c r="S17" s="54">
        <f t="shared" si="2"/>
        <v>92.801980198019805</v>
      </c>
      <c r="T17" s="54">
        <f t="shared" si="2"/>
        <v>94.732673267326732</v>
      </c>
      <c r="U17" s="54">
        <f t="shared" si="2"/>
        <v>99.885714285714272</v>
      </c>
      <c r="V17" s="54">
        <f t="shared" si="2"/>
        <v>110.27027027027026</v>
      </c>
      <c r="W17" s="54">
        <f t="shared" si="2"/>
        <v>170.23275862068965</v>
      </c>
      <c r="X17" s="32">
        <f>Drivers!X46</f>
        <v>165</v>
      </c>
      <c r="Y17" s="32">
        <f>Drivers!Y46</f>
        <v>165</v>
      </c>
      <c r="Z17" s="32">
        <f>Drivers!Z46</f>
        <v>130</v>
      </c>
      <c r="AA17" s="32">
        <f>Drivers!AA46</f>
        <v>130</v>
      </c>
      <c r="AB17" s="32">
        <f>Drivers!AB46</f>
        <v>130</v>
      </c>
      <c r="AC17" s="32">
        <f>Drivers!AC46</f>
        <v>130</v>
      </c>
      <c r="AD17" s="32">
        <f>Drivers!AD46</f>
        <v>110</v>
      </c>
      <c r="AE17" s="32">
        <f>Drivers!AE46</f>
        <v>110</v>
      </c>
      <c r="AF17" s="32">
        <f>Drivers!AF46</f>
        <v>110</v>
      </c>
      <c r="AG17" s="32">
        <f>Drivers!AG46</f>
        <v>110</v>
      </c>
      <c r="AH17" s="32">
        <f>Drivers!AH46</f>
        <v>110</v>
      </c>
      <c r="AI17" s="32">
        <f>Drivers!AI46</f>
        <v>110</v>
      </c>
      <c r="AJ17" s="32">
        <f>Drivers!AJ46</f>
        <v>110</v>
      </c>
      <c r="AK17" s="32">
        <f>Drivers!AK46</f>
        <v>110</v>
      </c>
    </row>
    <row r="18" spans="1:37" x14ac:dyDescent="0.45">
      <c r="A18" s="12" t="s">
        <v>527</v>
      </c>
      <c r="B18" s="3" t="s">
        <v>528</v>
      </c>
      <c r="C18" s="12" t="s">
        <v>70</v>
      </c>
      <c r="E18" s="13">
        <f>BS!E13</f>
        <v>42</v>
      </c>
      <c r="F18" s="13">
        <f>BS!F13</f>
        <v>44</v>
      </c>
      <c r="G18" s="13">
        <f>BS!G13</f>
        <v>62</v>
      </c>
      <c r="H18" s="13">
        <f>BS!H13</f>
        <v>95</v>
      </c>
      <c r="I18" s="13">
        <f>BS!I13</f>
        <v>110</v>
      </c>
      <c r="J18" s="13">
        <f>BS!J13</f>
        <v>112</v>
      </c>
      <c r="K18" s="13">
        <f>BS!K13</f>
        <v>107</v>
      </c>
      <c r="L18" s="13">
        <f>BS!L13</f>
        <v>98</v>
      </c>
      <c r="M18" s="13">
        <f>BS!M13</f>
        <v>118</v>
      </c>
      <c r="N18" s="13">
        <f>BS!N13</f>
        <v>120</v>
      </c>
      <c r="O18" s="13">
        <f>BS!O13</f>
        <v>110</v>
      </c>
      <c r="P18" s="13">
        <f>BS!P13</f>
        <v>106</v>
      </c>
      <c r="Q18" s="13">
        <f>BS!Q13</f>
        <v>118</v>
      </c>
      <c r="R18" s="13">
        <f>BS!R13</f>
        <v>111</v>
      </c>
      <c r="S18" s="13">
        <f>BS!S13</f>
        <v>103</v>
      </c>
      <c r="T18" s="13">
        <f>BS!T13</f>
        <v>104</v>
      </c>
      <c r="U18" s="13">
        <f>BS!U13</f>
        <v>114</v>
      </c>
      <c r="V18" s="13">
        <f>BS!V13</f>
        <v>136</v>
      </c>
      <c r="W18" s="13">
        <f>BS!W13</f>
        <v>217</v>
      </c>
      <c r="X18" s="50">
        <f t="shared" ref="X18:AK18" si="3">X13*X17/X10</f>
        <v>197.39865728900256</v>
      </c>
      <c r="Y18" s="50">
        <f t="shared" si="3"/>
        <v>206.79859335038364</v>
      </c>
      <c r="Z18" s="50">
        <f t="shared" si="3"/>
        <v>138.32000000000002</v>
      </c>
      <c r="AA18" s="50">
        <f t="shared" si="3"/>
        <v>182.4</v>
      </c>
      <c r="AB18" s="50">
        <f t="shared" si="3"/>
        <v>157.86521739130436</v>
      </c>
      <c r="AC18" s="50">
        <f t="shared" si="3"/>
        <v>165.38260869565218</v>
      </c>
      <c r="AD18" s="50">
        <f t="shared" si="3"/>
        <v>114.01318681318681</v>
      </c>
      <c r="AE18" s="50">
        <f t="shared" si="3"/>
        <v>152.01758241758242</v>
      </c>
      <c r="AF18" s="50">
        <f t="shared" si="3"/>
        <v>131.56956521739133</v>
      </c>
      <c r="AG18" s="50">
        <f t="shared" si="3"/>
        <v>137.83478260869563</v>
      </c>
      <c r="AH18" s="50">
        <f t="shared" si="3"/>
        <v>113.52</v>
      </c>
      <c r="AI18" s="50">
        <f t="shared" si="3"/>
        <v>149.6967032967033</v>
      </c>
      <c r="AJ18" s="50">
        <f t="shared" si="3"/>
        <v>129.56086956521739</v>
      </c>
      <c r="AK18" s="50">
        <f t="shared" si="3"/>
        <v>135.73043478260868</v>
      </c>
    </row>
    <row r="19" spans="1:37" x14ac:dyDescent="0.45">
      <c r="A19" s="12" t="s">
        <v>628</v>
      </c>
      <c r="B19" s="57" t="s">
        <v>629</v>
      </c>
      <c r="C19" s="12" t="s">
        <v>73</v>
      </c>
      <c r="E19" s="51">
        <f t="shared" ref="E19:W19" si="4">E20/E11</f>
        <v>0.171875</v>
      </c>
      <c r="F19" s="51">
        <f t="shared" si="4"/>
        <v>0.19626168224299065</v>
      </c>
      <c r="G19" s="51">
        <f t="shared" si="4"/>
        <v>0.15555555555555556</v>
      </c>
      <c r="H19" s="51">
        <f t="shared" si="4"/>
        <v>0.15292553191489361</v>
      </c>
      <c r="I19" s="51">
        <f t="shared" si="4"/>
        <v>0.18098958333333334</v>
      </c>
      <c r="J19" s="51">
        <f t="shared" si="4"/>
        <v>0.18315018315018314</v>
      </c>
      <c r="K19" s="51">
        <f t="shared" si="4"/>
        <v>0.15541922290388549</v>
      </c>
      <c r="L19" s="51">
        <f t="shared" si="4"/>
        <v>0.16472868217054262</v>
      </c>
      <c r="M19" s="51">
        <f t="shared" si="4"/>
        <v>0.16602316602316602</v>
      </c>
      <c r="N19" s="51">
        <f t="shared" si="4"/>
        <v>0.18046511627906978</v>
      </c>
      <c r="O19" s="51">
        <f t="shared" si="4"/>
        <v>0.15619967793880837</v>
      </c>
      <c r="P19" s="51">
        <f t="shared" si="4"/>
        <v>0.14712643678160919</v>
      </c>
      <c r="Q19" s="51">
        <f t="shared" si="4"/>
        <v>0.15097159940209268</v>
      </c>
      <c r="R19" s="51">
        <f t="shared" si="4"/>
        <v>0.16230366492146597</v>
      </c>
      <c r="S19" s="51">
        <f t="shared" si="4"/>
        <v>0.14387096774193547</v>
      </c>
      <c r="T19" s="51">
        <f t="shared" si="4"/>
        <v>0.1475811390079608</v>
      </c>
      <c r="U19" s="51">
        <f t="shared" si="4"/>
        <v>0.1702388242498469</v>
      </c>
      <c r="V19" s="51">
        <f t="shared" si="4"/>
        <v>0.18834355828220858</v>
      </c>
      <c r="W19" s="51">
        <f t="shared" si="4"/>
        <v>0.18972746331236898</v>
      </c>
      <c r="X19" s="15">
        <f>Drivers!X49</f>
        <v>0.19</v>
      </c>
      <c r="Y19" s="15">
        <f>Drivers!Y49</f>
        <v>0.19</v>
      </c>
      <c r="Z19" s="15">
        <f>Drivers!Z49</f>
        <v>0.19</v>
      </c>
      <c r="AA19" s="15">
        <f>Drivers!AA49</f>
        <v>0.19</v>
      </c>
      <c r="AB19" s="15">
        <f>Drivers!AB49</f>
        <v>0.19</v>
      </c>
      <c r="AC19" s="15">
        <f>Drivers!AC49</f>
        <v>0.19</v>
      </c>
      <c r="AD19" s="15">
        <f>Drivers!AD49</f>
        <v>0.19</v>
      </c>
      <c r="AE19" s="15">
        <f>Drivers!AE49</f>
        <v>0.19</v>
      </c>
      <c r="AF19" s="15">
        <f>Drivers!AF49</f>
        <v>0.19</v>
      </c>
      <c r="AG19" s="15">
        <f>Drivers!AG49</f>
        <v>0.19</v>
      </c>
      <c r="AH19" s="15">
        <f>Drivers!AH49</f>
        <v>0.19</v>
      </c>
      <c r="AI19" s="15">
        <f>Drivers!AI49</f>
        <v>0.19</v>
      </c>
      <c r="AJ19" s="15">
        <f>Drivers!AJ49</f>
        <v>0.19</v>
      </c>
      <c r="AK19" s="15">
        <f>Drivers!AK49</f>
        <v>0.19</v>
      </c>
    </row>
    <row r="20" spans="1:37" x14ac:dyDescent="0.45">
      <c r="A20" s="12" t="s">
        <v>531</v>
      </c>
      <c r="B20" s="3" t="s">
        <v>630</v>
      </c>
      <c r="C20" s="12" t="s">
        <v>70</v>
      </c>
      <c r="E20" s="13">
        <f>BS!E15</f>
        <v>88</v>
      </c>
      <c r="F20" s="13">
        <f>BS!F15</f>
        <v>105</v>
      </c>
      <c r="G20" s="13">
        <f>BS!G15</f>
        <v>105</v>
      </c>
      <c r="H20" s="13">
        <f>BS!H15</f>
        <v>115</v>
      </c>
      <c r="I20" s="13">
        <f>BS!I15</f>
        <v>139</v>
      </c>
      <c r="J20" s="13">
        <f>BS!J15</f>
        <v>150</v>
      </c>
      <c r="K20" s="13">
        <f>BS!K15</f>
        <v>152</v>
      </c>
      <c r="L20" s="13">
        <f>BS!L15</f>
        <v>170</v>
      </c>
      <c r="M20" s="13">
        <f>BS!M15</f>
        <v>172</v>
      </c>
      <c r="N20" s="13">
        <f>BS!N15</f>
        <v>194</v>
      </c>
      <c r="O20" s="13">
        <f>BS!O15</f>
        <v>194</v>
      </c>
      <c r="P20" s="13">
        <f>BS!P15</f>
        <v>192</v>
      </c>
      <c r="Q20" s="13">
        <f>BS!Q15</f>
        <v>202</v>
      </c>
      <c r="R20" s="13">
        <f>BS!R15</f>
        <v>217</v>
      </c>
      <c r="S20" s="13">
        <f>BS!S15</f>
        <v>223</v>
      </c>
      <c r="T20" s="13">
        <f>BS!T15</f>
        <v>241</v>
      </c>
      <c r="U20" s="13">
        <f>BS!U15</f>
        <v>278</v>
      </c>
      <c r="V20" s="13">
        <f>BS!V15</f>
        <v>307</v>
      </c>
      <c r="W20" s="13">
        <f>BS!W15</f>
        <v>362</v>
      </c>
      <c r="X20" s="50">
        <f t="shared" ref="X20:AK20" si="5">X11*X19</f>
        <v>377.32399871691177</v>
      </c>
      <c r="Y20" s="50">
        <f t="shared" si="5"/>
        <v>375.52842797823524</v>
      </c>
      <c r="Z20" s="50">
        <f t="shared" si="5"/>
        <v>371.39669274758563</v>
      </c>
      <c r="AA20" s="50">
        <f t="shared" si="5"/>
        <v>432.8035018357466</v>
      </c>
      <c r="AB20" s="50">
        <f t="shared" si="5"/>
        <v>447.82213685536755</v>
      </c>
      <c r="AC20" s="50">
        <f t="shared" si="5"/>
        <v>443.31475617215716</v>
      </c>
      <c r="AD20" s="50">
        <f t="shared" si="5"/>
        <v>437.02302964978054</v>
      </c>
      <c r="AE20" s="50">
        <f t="shared" si="5"/>
        <v>505.91800137347064</v>
      </c>
      <c r="AF20" s="50">
        <f t="shared" si="5"/>
        <v>520.80754848333436</v>
      </c>
      <c r="AG20" s="50">
        <f t="shared" si="5"/>
        <v>513.00566272690719</v>
      </c>
      <c r="AH20" s="50">
        <f t="shared" si="5"/>
        <v>503.46049368140103</v>
      </c>
      <c r="AI20" s="50">
        <f t="shared" si="5"/>
        <v>579.89737762410243</v>
      </c>
      <c r="AJ20" s="50">
        <f t="shared" si="5"/>
        <v>594.64118599583719</v>
      </c>
      <c r="AK20" s="50">
        <f t="shared" si="5"/>
        <v>583.50974315648386</v>
      </c>
    </row>
    <row r="21" spans="1:37" x14ac:dyDescent="0.45">
      <c r="A21" s="12" t="s">
        <v>631</v>
      </c>
      <c r="B21" s="57" t="s">
        <v>632</v>
      </c>
      <c r="C21" s="12" t="s">
        <v>259</v>
      </c>
      <c r="E21" s="54">
        <f t="shared" ref="E21:W21" si="6">E22/E12*E10</f>
        <v>8.382687927107062</v>
      </c>
      <c r="F21" s="54">
        <f t="shared" si="6"/>
        <v>5.8520179372197303</v>
      </c>
      <c r="G21" s="54">
        <f t="shared" si="6"/>
        <v>5.9911032028469746</v>
      </c>
      <c r="H21" s="54">
        <f t="shared" si="6"/>
        <v>4.2861896838602327</v>
      </c>
      <c r="I21" s="54">
        <f t="shared" si="6"/>
        <v>4.5245901639344259</v>
      </c>
      <c r="J21" s="54">
        <f t="shared" si="6"/>
        <v>5.0232558139534884</v>
      </c>
      <c r="K21" s="54">
        <f t="shared" si="6"/>
        <v>4.963636363636363</v>
      </c>
      <c r="L21" s="54">
        <f t="shared" si="6"/>
        <v>3.081885856079404</v>
      </c>
      <c r="M21" s="54">
        <f t="shared" si="6"/>
        <v>3.634567901234568</v>
      </c>
      <c r="N21" s="54">
        <f t="shared" si="6"/>
        <v>5.398305084745763</v>
      </c>
      <c r="O21" s="54">
        <f t="shared" si="6"/>
        <v>3.1412133891213387</v>
      </c>
      <c r="P21" s="54">
        <f t="shared" si="6"/>
        <v>2.8077314343845372</v>
      </c>
      <c r="Q21" s="54">
        <f t="shared" si="6"/>
        <v>3.3870646766169159</v>
      </c>
      <c r="R21" s="54">
        <f t="shared" si="6"/>
        <v>4.3592330978809279</v>
      </c>
      <c r="S21" s="54">
        <f t="shared" si="6"/>
        <v>3.8506044905008636</v>
      </c>
      <c r="T21" s="54">
        <f t="shared" si="6"/>
        <v>3.8301415487094088</v>
      </c>
      <c r="U21" s="54">
        <f t="shared" si="6"/>
        <v>3.5735537190082645</v>
      </c>
      <c r="V21" s="54">
        <f t="shared" si="6"/>
        <v>5.3254437869822482</v>
      </c>
      <c r="W21" s="54">
        <f t="shared" si="6"/>
        <v>2.6149425287356323</v>
      </c>
      <c r="X21" s="32">
        <f>Drivers!X47</f>
        <v>3.8</v>
      </c>
      <c r="Y21" s="32">
        <f>Drivers!Y47</f>
        <v>3.8</v>
      </c>
      <c r="Z21" s="32">
        <f>Drivers!Z47</f>
        <v>3.8</v>
      </c>
      <c r="AA21" s="32">
        <f>Drivers!AA47</f>
        <v>3.8</v>
      </c>
      <c r="AB21" s="32">
        <f>Drivers!AB47</f>
        <v>3.8</v>
      </c>
      <c r="AC21" s="32">
        <f>Drivers!AC47</f>
        <v>3.8</v>
      </c>
      <c r="AD21" s="32">
        <f>Drivers!AD47</f>
        <v>3.8</v>
      </c>
      <c r="AE21" s="32">
        <f>Drivers!AE47</f>
        <v>3.8</v>
      </c>
      <c r="AF21" s="32">
        <f>Drivers!AF47</f>
        <v>3.8</v>
      </c>
      <c r="AG21" s="32">
        <f>Drivers!AG47</f>
        <v>3.8</v>
      </c>
      <c r="AH21" s="32">
        <f>Drivers!AH47</f>
        <v>3.8</v>
      </c>
      <c r="AI21" s="32">
        <f>Drivers!AI47</f>
        <v>3.8</v>
      </c>
      <c r="AJ21" s="32">
        <f>Drivers!AJ47</f>
        <v>3.8</v>
      </c>
      <c r="AK21" s="32">
        <f>Drivers!AK47</f>
        <v>3.8</v>
      </c>
    </row>
    <row r="22" spans="1:37" x14ac:dyDescent="0.45">
      <c r="A22" s="12" t="s">
        <v>546</v>
      </c>
      <c r="B22" s="3" t="s">
        <v>547</v>
      </c>
      <c r="C22" s="12" t="s">
        <v>70</v>
      </c>
      <c r="E22" s="13">
        <f>BS!E23</f>
        <v>40</v>
      </c>
      <c r="F22" s="13">
        <f>BS!F23</f>
        <v>29</v>
      </c>
      <c r="G22" s="13">
        <f>BS!G23</f>
        <v>37</v>
      </c>
      <c r="H22" s="13">
        <f>BS!H23</f>
        <v>28</v>
      </c>
      <c r="I22" s="13">
        <f>BS!I23</f>
        <v>30</v>
      </c>
      <c r="J22" s="13">
        <f>BS!J23</f>
        <v>36</v>
      </c>
      <c r="K22" s="13">
        <f>BS!K23</f>
        <v>42</v>
      </c>
      <c r="L22" s="13">
        <f>BS!L23</f>
        <v>27</v>
      </c>
      <c r="M22" s="13">
        <f>BS!M23</f>
        <v>32</v>
      </c>
      <c r="N22" s="13">
        <f>BS!N23</f>
        <v>49</v>
      </c>
      <c r="O22" s="13">
        <f>BS!O23</f>
        <v>33</v>
      </c>
      <c r="P22" s="13">
        <f>BS!P23</f>
        <v>30</v>
      </c>
      <c r="Q22" s="13">
        <f>BS!Q23</f>
        <v>37</v>
      </c>
      <c r="R22" s="13">
        <f>BS!R23</f>
        <v>48</v>
      </c>
      <c r="S22" s="13">
        <f>BS!S23</f>
        <v>49</v>
      </c>
      <c r="T22" s="13">
        <f>BS!T23</f>
        <v>50</v>
      </c>
      <c r="U22" s="13">
        <f>BS!U23</f>
        <v>47</v>
      </c>
      <c r="V22" s="13">
        <f>BS!V23</f>
        <v>70</v>
      </c>
      <c r="W22" s="13">
        <f>BS!W23</f>
        <v>40</v>
      </c>
      <c r="X22" s="50">
        <f t="shared" ref="X22:AK22" si="7">X12*X21/X10</f>
        <v>58.948669683703656</v>
      </c>
      <c r="Y22" s="50">
        <f t="shared" si="7"/>
        <v>59.126496696067768</v>
      </c>
      <c r="Z22" s="50">
        <f t="shared" si="7"/>
        <v>58.099054940688703</v>
      </c>
      <c r="AA22" s="50">
        <f t="shared" si="7"/>
        <v>68.651445384018686</v>
      </c>
      <c r="AB22" s="50">
        <f t="shared" si="7"/>
        <v>68.848606941451408</v>
      </c>
      <c r="AC22" s="50">
        <f t="shared" si="7"/>
        <v>68.666219394595998</v>
      </c>
      <c r="AD22" s="50">
        <f t="shared" si="7"/>
        <v>66.658729803614918</v>
      </c>
      <c r="AE22" s="50">
        <f t="shared" si="7"/>
        <v>79.098745277589387</v>
      </c>
      <c r="AF22" s="50">
        <f t="shared" si="7"/>
        <v>79.025157794371395</v>
      </c>
      <c r="AG22" s="50">
        <f t="shared" si="7"/>
        <v>78.396049842071804</v>
      </c>
      <c r="AH22" s="50">
        <f t="shared" si="7"/>
        <v>76.833760361633679</v>
      </c>
      <c r="AI22" s="50">
        <f t="shared" si="7"/>
        <v>89.689645181664446</v>
      </c>
      <c r="AJ22" s="50">
        <f t="shared" si="7"/>
        <v>89.346639635641083</v>
      </c>
      <c r="AK22" s="50">
        <f t="shared" si="7"/>
        <v>88.270612139141988</v>
      </c>
    </row>
    <row r="23" spans="1:37" x14ac:dyDescent="0.45">
      <c r="A23" s="12" t="s">
        <v>633</v>
      </c>
      <c r="B23" s="57" t="s">
        <v>634</v>
      </c>
      <c r="C23" s="12" t="s">
        <v>73</v>
      </c>
      <c r="E23" s="51">
        <f t="shared" ref="E23:W23" si="8">E24/E14</f>
        <v>0.81481481481481477</v>
      </c>
      <c r="F23" s="51">
        <f t="shared" si="8"/>
        <v>0.66666666666666663</v>
      </c>
      <c r="G23" s="51">
        <f t="shared" si="8"/>
        <v>0.56578947368421051</v>
      </c>
      <c r="H23" s="51">
        <f t="shared" si="8"/>
        <v>0.44444444444444442</v>
      </c>
      <c r="I23" s="51">
        <f t="shared" si="8"/>
        <v>0.41489361702127658</v>
      </c>
      <c r="J23" s="51">
        <f t="shared" si="8"/>
        <v>0.40186915887850466</v>
      </c>
      <c r="K23" s="51">
        <f t="shared" si="8"/>
        <v>0.33884297520661155</v>
      </c>
      <c r="L23" s="51">
        <f t="shared" si="8"/>
        <v>0.29007633587786258</v>
      </c>
      <c r="M23" s="51">
        <f t="shared" si="8"/>
        <v>0.27464788732394368</v>
      </c>
      <c r="N23" s="51">
        <f t="shared" si="8"/>
        <v>0.33112582781456956</v>
      </c>
      <c r="O23" s="51">
        <f t="shared" si="8"/>
        <v>0.37349397590361444</v>
      </c>
      <c r="P23" s="51">
        <f t="shared" si="8"/>
        <v>0.32804232804232802</v>
      </c>
      <c r="Q23" s="51">
        <f t="shared" si="8"/>
        <v>0.29499999999999998</v>
      </c>
      <c r="R23" s="51">
        <f t="shared" si="8"/>
        <v>0.27751196172248804</v>
      </c>
      <c r="S23" s="51">
        <f t="shared" si="8"/>
        <v>0.26431718061674009</v>
      </c>
      <c r="T23" s="51">
        <f t="shared" si="8"/>
        <v>0.25819672131147542</v>
      </c>
      <c r="U23" s="51">
        <f t="shared" si="8"/>
        <v>0.265625</v>
      </c>
      <c r="V23" s="51">
        <f t="shared" si="8"/>
        <v>0.27238805970149255</v>
      </c>
      <c r="W23" s="51">
        <f t="shared" si="8"/>
        <v>0.26551724137931032</v>
      </c>
      <c r="X23" s="15">
        <f>Drivers!X48</f>
        <v>0.26500000000000001</v>
      </c>
      <c r="Y23" s="15">
        <f>Drivers!Y48</f>
        <v>0.26500000000000001</v>
      </c>
      <c r="Z23" s="15">
        <f>Drivers!Z48</f>
        <v>0.26500000000000001</v>
      </c>
      <c r="AA23" s="15">
        <f>Drivers!AA48</f>
        <v>0.26500000000000001</v>
      </c>
      <c r="AB23" s="15">
        <f>Drivers!AB48</f>
        <v>0.26500000000000001</v>
      </c>
      <c r="AC23" s="15">
        <f>Drivers!AC48</f>
        <v>0.26500000000000001</v>
      </c>
      <c r="AD23" s="15">
        <f>Drivers!AD48</f>
        <v>0.26500000000000001</v>
      </c>
      <c r="AE23" s="15">
        <f>Drivers!AE48</f>
        <v>0.26500000000000001</v>
      </c>
      <c r="AF23" s="15">
        <f>Drivers!AF48</f>
        <v>0.26500000000000001</v>
      </c>
      <c r="AG23" s="15">
        <f>Drivers!AG48</f>
        <v>0.26500000000000001</v>
      </c>
      <c r="AH23" s="15">
        <f>Drivers!AH48</f>
        <v>0.26500000000000001</v>
      </c>
      <c r="AI23" s="15">
        <f>Drivers!AI48</f>
        <v>0.26500000000000001</v>
      </c>
      <c r="AJ23" s="15">
        <f>Drivers!AJ48</f>
        <v>0.26500000000000001</v>
      </c>
      <c r="AK23" s="15">
        <f>Drivers!AK48</f>
        <v>0.26500000000000001</v>
      </c>
    </row>
    <row r="24" spans="1:37" x14ac:dyDescent="0.45">
      <c r="A24" s="12" t="s">
        <v>548</v>
      </c>
      <c r="B24" s="3" t="s">
        <v>549</v>
      </c>
      <c r="C24" s="12" t="s">
        <v>70</v>
      </c>
      <c r="E24" s="13">
        <f>BS!E24</f>
        <v>44</v>
      </c>
      <c r="F24" s="13">
        <f>BS!F24</f>
        <v>42</v>
      </c>
      <c r="G24" s="13">
        <f>BS!G24</f>
        <v>43</v>
      </c>
      <c r="H24" s="13">
        <f>BS!H24</f>
        <v>40</v>
      </c>
      <c r="I24" s="13">
        <f>BS!I24</f>
        <v>39</v>
      </c>
      <c r="J24" s="13">
        <f>BS!J24</f>
        <v>43</v>
      </c>
      <c r="K24" s="13">
        <f>BS!K24</f>
        <v>41</v>
      </c>
      <c r="L24" s="13">
        <f>BS!L24</f>
        <v>38</v>
      </c>
      <c r="M24" s="13">
        <f>BS!M24</f>
        <v>39</v>
      </c>
      <c r="N24" s="13">
        <f>BS!N24</f>
        <v>50</v>
      </c>
      <c r="O24" s="13">
        <f>BS!O24</f>
        <v>62</v>
      </c>
      <c r="P24" s="13">
        <f>BS!P24</f>
        <v>62</v>
      </c>
      <c r="Q24" s="13">
        <f>BS!Q24</f>
        <v>59</v>
      </c>
      <c r="R24" s="13">
        <f>BS!R24</f>
        <v>58</v>
      </c>
      <c r="S24" s="13">
        <f>BS!S24</f>
        <v>60</v>
      </c>
      <c r="T24" s="13">
        <f>BS!T24</f>
        <v>63</v>
      </c>
      <c r="U24" s="13">
        <f>BS!U24</f>
        <v>68</v>
      </c>
      <c r="V24" s="13">
        <f>BS!V24</f>
        <v>73</v>
      </c>
      <c r="W24" s="13">
        <f>BS!W24</f>
        <v>77</v>
      </c>
      <c r="X24" s="50">
        <f t="shared" ref="X24:AK24" si="9">X14*X23</f>
        <v>81.828894044117661</v>
      </c>
      <c r="Y24" s="50">
        <f t="shared" si="9"/>
        <v>85.259017411764702</v>
      </c>
      <c r="Z24" s="50">
        <f t="shared" si="9"/>
        <v>88.32169411764707</v>
      </c>
      <c r="AA24" s="50">
        <f t="shared" si="9"/>
        <v>95.040847058823545</v>
      </c>
      <c r="AB24" s="50">
        <f t="shared" si="9"/>
        <v>100.64412677647059</v>
      </c>
      <c r="AC24" s="50">
        <f t="shared" si="9"/>
        <v>104.27705355294118</v>
      </c>
      <c r="AD24" s="50">
        <f t="shared" si="9"/>
        <v>106.93033581176472</v>
      </c>
      <c r="AE24" s="50">
        <f t="shared" si="9"/>
        <v>114.39306337254904</v>
      </c>
      <c r="AF24" s="50">
        <f t="shared" si="9"/>
        <v>120.43567682364706</v>
      </c>
      <c r="AG24" s="50">
        <f t="shared" si="9"/>
        <v>124.14241503529412</v>
      </c>
      <c r="AH24" s="50">
        <f t="shared" si="9"/>
        <v>126.12114975811762</v>
      </c>
      <c r="AI24" s="50">
        <f t="shared" si="9"/>
        <v>134.33141554039213</v>
      </c>
      <c r="AJ24" s="50">
        <f t="shared" si="9"/>
        <v>140.80582290665643</v>
      </c>
      <c r="AK24" s="50">
        <f t="shared" si="9"/>
        <v>144.56882203259298</v>
      </c>
    </row>
    <row r="25" spans="1:37" x14ac:dyDescent="0.45">
      <c r="A25" s="12" t="s">
        <v>635</v>
      </c>
      <c r="B25" s="57" t="s">
        <v>636</v>
      </c>
      <c r="C25" s="12" t="s">
        <v>73</v>
      </c>
      <c r="E25" s="51">
        <f t="shared" ref="E25:W25" si="10">E26/E12</f>
        <v>0.61047835990888377</v>
      </c>
      <c r="F25" s="51">
        <f t="shared" si="10"/>
        <v>0.74663677130044848</v>
      </c>
      <c r="G25" s="51">
        <f t="shared" si="10"/>
        <v>0.6708185053380783</v>
      </c>
      <c r="H25" s="51">
        <f t="shared" si="10"/>
        <v>0.64725457570715472</v>
      </c>
      <c r="I25" s="51">
        <f t="shared" si="10"/>
        <v>0.7</v>
      </c>
      <c r="J25" s="51">
        <f t="shared" si="10"/>
        <v>0.71162790697674416</v>
      </c>
      <c r="K25" s="51">
        <f t="shared" si="10"/>
        <v>0.6506493506493507</v>
      </c>
      <c r="L25" s="51">
        <f t="shared" si="10"/>
        <v>0.63151364764267992</v>
      </c>
      <c r="M25" s="51">
        <f t="shared" si="10"/>
        <v>0.73086419753086418</v>
      </c>
      <c r="N25" s="51">
        <f t="shared" si="10"/>
        <v>0.7433414043583535</v>
      </c>
      <c r="O25" s="51">
        <f t="shared" si="10"/>
        <v>0.67050209205020916</v>
      </c>
      <c r="P25" s="51">
        <f t="shared" si="10"/>
        <v>0.66734486266531023</v>
      </c>
      <c r="Q25" s="51">
        <f t="shared" si="10"/>
        <v>0.71144278606965172</v>
      </c>
      <c r="R25" s="51">
        <f t="shared" si="10"/>
        <v>0.74470232088799193</v>
      </c>
      <c r="S25" s="51">
        <f t="shared" si="10"/>
        <v>0.67789291882556135</v>
      </c>
      <c r="T25" s="51">
        <f t="shared" si="10"/>
        <v>0.66444629475437134</v>
      </c>
      <c r="U25" s="51">
        <f t="shared" si="10"/>
        <v>0.70578512396694215</v>
      </c>
      <c r="V25" s="51">
        <f t="shared" si="10"/>
        <v>0.77852916314454779</v>
      </c>
      <c r="W25" s="51">
        <f t="shared" si="10"/>
        <v>0.70905172413793105</v>
      </c>
      <c r="X25" s="15">
        <f>Drivers!X51</f>
        <v>0.71</v>
      </c>
      <c r="Y25" s="15">
        <f>Drivers!Y51</f>
        <v>0.71</v>
      </c>
      <c r="Z25" s="15">
        <f>Drivers!Z51</f>
        <v>0.71</v>
      </c>
      <c r="AA25" s="15">
        <f>Drivers!AA51</f>
        <v>0.71</v>
      </c>
      <c r="AB25" s="15">
        <f>Drivers!AB51</f>
        <v>0.71</v>
      </c>
      <c r="AC25" s="15">
        <f>Drivers!AC51</f>
        <v>0.71</v>
      </c>
      <c r="AD25" s="15">
        <f>Drivers!AD51</f>
        <v>0.71</v>
      </c>
      <c r="AE25" s="15">
        <f>Drivers!AE51</f>
        <v>0.71</v>
      </c>
      <c r="AF25" s="15">
        <f>Drivers!AF51</f>
        <v>0.71</v>
      </c>
      <c r="AG25" s="15">
        <f>Drivers!AG51</f>
        <v>0.71</v>
      </c>
      <c r="AH25" s="15">
        <f>Drivers!AH51</f>
        <v>0.71</v>
      </c>
      <c r="AI25" s="15">
        <f>Drivers!AI51</f>
        <v>0.71</v>
      </c>
      <c r="AJ25" s="15">
        <f>Drivers!AJ51</f>
        <v>0.71</v>
      </c>
      <c r="AK25" s="15">
        <f>Drivers!AK51</f>
        <v>0.71</v>
      </c>
    </row>
    <row r="26" spans="1:37" x14ac:dyDescent="0.45">
      <c r="A26" s="12" t="s">
        <v>550</v>
      </c>
      <c r="B26" s="3" t="s">
        <v>637</v>
      </c>
      <c r="C26" s="12" t="s">
        <v>70</v>
      </c>
      <c r="E26" s="13">
        <f>BS!E25</f>
        <v>268</v>
      </c>
      <c r="F26" s="13">
        <f>BS!F25</f>
        <v>333</v>
      </c>
      <c r="G26" s="13">
        <f>BS!G25</f>
        <v>377</v>
      </c>
      <c r="H26" s="13">
        <f>BS!H25</f>
        <v>389</v>
      </c>
      <c r="I26" s="13">
        <f>BS!I25</f>
        <v>427</v>
      </c>
      <c r="J26" s="13">
        <f>BS!J25</f>
        <v>459</v>
      </c>
      <c r="K26" s="13">
        <f>BS!K25</f>
        <v>501</v>
      </c>
      <c r="L26" s="13">
        <f>BS!L25</f>
        <v>509</v>
      </c>
      <c r="M26" s="13">
        <f>BS!M25</f>
        <v>592</v>
      </c>
      <c r="N26" s="13">
        <f>BS!N25</f>
        <v>614</v>
      </c>
      <c r="O26" s="13">
        <f>BS!O25</f>
        <v>641</v>
      </c>
      <c r="P26" s="13">
        <f>BS!P25</f>
        <v>656</v>
      </c>
      <c r="Q26" s="13">
        <f>BS!Q25</f>
        <v>715</v>
      </c>
      <c r="R26" s="13">
        <f>BS!R25</f>
        <v>738</v>
      </c>
      <c r="S26" s="13">
        <f>BS!S25</f>
        <v>785</v>
      </c>
      <c r="T26" s="13">
        <f>BS!T25</f>
        <v>798</v>
      </c>
      <c r="U26" s="13">
        <f>BS!U25</f>
        <v>854</v>
      </c>
      <c r="V26" s="13">
        <f>BS!V25</f>
        <v>921</v>
      </c>
      <c r="W26" s="13">
        <f>BS!W25</f>
        <v>987</v>
      </c>
      <c r="X26" s="50">
        <f t="shared" ref="X26:AK26" si="11">X12*X25</f>
        <v>1013.2966062472428</v>
      </c>
      <c r="Y26" s="50">
        <f t="shared" si="11"/>
        <v>1016.3533589966175</v>
      </c>
      <c r="Z26" s="50">
        <f t="shared" si="11"/>
        <v>976.98147650263377</v>
      </c>
      <c r="AA26" s="50">
        <f t="shared" si="11"/>
        <v>1167.2552332266966</v>
      </c>
      <c r="AB26" s="50">
        <f t="shared" si="11"/>
        <v>1183.471317214633</v>
      </c>
      <c r="AC26" s="50">
        <f t="shared" si="11"/>
        <v>1180.3361712776343</v>
      </c>
      <c r="AD26" s="50">
        <f t="shared" si="11"/>
        <v>1133.3738243714629</v>
      </c>
      <c r="AE26" s="50">
        <f t="shared" si="11"/>
        <v>1344.8868243118552</v>
      </c>
      <c r="AF26" s="50">
        <f t="shared" si="11"/>
        <v>1358.4008702969313</v>
      </c>
      <c r="AG26" s="50">
        <f t="shared" si="11"/>
        <v>1347.58683570635</v>
      </c>
      <c r="AH26" s="50">
        <f t="shared" si="11"/>
        <v>1292.0203387127349</v>
      </c>
      <c r="AI26" s="50">
        <f t="shared" si="11"/>
        <v>1524.9599934703526</v>
      </c>
      <c r="AJ26" s="50">
        <f t="shared" si="11"/>
        <v>1535.8217107894936</v>
      </c>
      <c r="AK26" s="50">
        <f t="shared" si="11"/>
        <v>1517.3253644549354</v>
      </c>
    </row>
    <row r="27" spans="1:37" x14ac:dyDescent="0.45">
      <c r="A27" s="12" t="s">
        <v>638</v>
      </c>
      <c r="B27" s="57" t="s">
        <v>639</v>
      </c>
      <c r="C27" s="12" t="s">
        <v>73</v>
      </c>
      <c r="E27" s="51">
        <f t="shared" ref="E27:W27" si="12">E28/E11</f>
        <v>0.216796875</v>
      </c>
      <c r="F27" s="51">
        <f t="shared" si="12"/>
        <v>0.21495327102803738</v>
      </c>
      <c r="G27" s="51">
        <f t="shared" si="12"/>
        <v>0.17481481481481481</v>
      </c>
      <c r="H27" s="51">
        <f t="shared" si="12"/>
        <v>0.1702127659574468</v>
      </c>
      <c r="I27" s="51">
        <f t="shared" si="12"/>
        <v>0.16796875</v>
      </c>
      <c r="J27" s="51">
        <f t="shared" si="12"/>
        <v>0.16727716727716727</v>
      </c>
      <c r="K27" s="51">
        <f t="shared" si="12"/>
        <v>9.5092024539877307E-2</v>
      </c>
      <c r="L27" s="51">
        <f t="shared" si="12"/>
        <v>9.205426356589147E-2</v>
      </c>
      <c r="M27" s="51">
        <f t="shared" si="12"/>
        <v>0.11486486486486487</v>
      </c>
      <c r="N27" s="51">
        <f t="shared" si="12"/>
        <v>0.11534883720930232</v>
      </c>
      <c r="O27" s="51">
        <f t="shared" si="12"/>
        <v>0.10628019323671498</v>
      </c>
      <c r="P27" s="51">
        <f t="shared" si="12"/>
        <v>0.10651340996168582</v>
      </c>
      <c r="Q27" s="51">
        <f t="shared" si="12"/>
        <v>0.10687593423019431</v>
      </c>
      <c r="R27" s="51">
        <f t="shared" si="12"/>
        <v>0.11219147344801796</v>
      </c>
      <c r="S27" s="51">
        <f t="shared" si="12"/>
        <v>0.10387096774193548</v>
      </c>
      <c r="T27" s="51">
        <f t="shared" si="12"/>
        <v>0.10471524800979792</v>
      </c>
      <c r="U27" s="51">
        <f t="shared" si="12"/>
        <v>8.940600122473974E-2</v>
      </c>
      <c r="V27" s="51">
        <f t="shared" si="12"/>
        <v>0.11533742331288344</v>
      </c>
      <c r="W27" s="51">
        <f t="shared" si="12"/>
        <v>9.6960167714884693E-2</v>
      </c>
      <c r="X27" s="15">
        <f>Drivers!X50</f>
        <v>9.5000000000000001E-2</v>
      </c>
      <c r="Y27" s="15">
        <f>Drivers!Y50</f>
        <v>9.5000000000000001E-2</v>
      </c>
      <c r="Z27" s="15">
        <f>Drivers!Z50</f>
        <v>9.5000000000000001E-2</v>
      </c>
      <c r="AA27" s="15">
        <f>Drivers!AA50</f>
        <v>9.5000000000000001E-2</v>
      </c>
      <c r="AB27" s="15">
        <f>Drivers!AB50</f>
        <v>9.5000000000000001E-2</v>
      </c>
      <c r="AC27" s="15">
        <f>Drivers!AC50</f>
        <v>9.5000000000000001E-2</v>
      </c>
      <c r="AD27" s="15">
        <f>Drivers!AD50</f>
        <v>9.5000000000000001E-2</v>
      </c>
      <c r="AE27" s="15">
        <f>Drivers!AE50</f>
        <v>9.5000000000000001E-2</v>
      </c>
      <c r="AF27" s="15">
        <f>Drivers!AF50</f>
        <v>9.5000000000000001E-2</v>
      </c>
      <c r="AG27" s="15">
        <f>Drivers!AG50</f>
        <v>9.5000000000000001E-2</v>
      </c>
      <c r="AH27" s="15">
        <f>Drivers!AH50</f>
        <v>9.5000000000000001E-2</v>
      </c>
      <c r="AI27" s="15">
        <f>Drivers!AI50</f>
        <v>9.5000000000000001E-2</v>
      </c>
      <c r="AJ27" s="15">
        <f>Drivers!AJ50</f>
        <v>9.5000000000000001E-2</v>
      </c>
      <c r="AK27" s="15">
        <f>Drivers!AK50</f>
        <v>9.5000000000000001E-2</v>
      </c>
    </row>
    <row r="28" spans="1:37" x14ac:dyDescent="0.45">
      <c r="A28" s="12" t="s">
        <v>541</v>
      </c>
      <c r="B28" s="3" t="s">
        <v>542</v>
      </c>
      <c r="C28" s="12" t="s">
        <v>70</v>
      </c>
      <c r="E28" s="13">
        <f>BS!E20</f>
        <v>111</v>
      </c>
      <c r="F28" s="13">
        <f>BS!F20</f>
        <v>115</v>
      </c>
      <c r="G28" s="13">
        <f>BS!G20</f>
        <v>118</v>
      </c>
      <c r="H28" s="13">
        <f>BS!H20</f>
        <v>128</v>
      </c>
      <c r="I28" s="13">
        <f>BS!I20</f>
        <v>129</v>
      </c>
      <c r="J28" s="13">
        <f>BS!J20</f>
        <v>137</v>
      </c>
      <c r="K28" s="13">
        <f>BS!K20</f>
        <v>93</v>
      </c>
      <c r="L28" s="13">
        <f>BS!L20</f>
        <v>95</v>
      </c>
      <c r="M28" s="13">
        <f>BS!M20</f>
        <v>119</v>
      </c>
      <c r="N28" s="13">
        <f>BS!N20</f>
        <v>124</v>
      </c>
      <c r="O28" s="13">
        <f>BS!O20</f>
        <v>132</v>
      </c>
      <c r="P28" s="13">
        <f>BS!P20</f>
        <v>139</v>
      </c>
      <c r="Q28" s="13">
        <f>BS!Q20</f>
        <v>143</v>
      </c>
      <c r="R28" s="13">
        <f>BS!R20</f>
        <v>150</v>
      </c>
      <c r="S28" s="13">
        <f>BS!S20</f>
        <v>161</v>
      </c>
      <c r="T28" s="13">
        <f>BS!T20</f>
        <v>171</v>
      </c>
      <c r="U28" s="13">
        <f>BS!U20</f>
        <v>146</v>
      </c>
      <c r="V28" s="13">
        <f>BS!V20</f>
        <v>188</v>
      </c>
      <c r="W28" s="13">
        <f>BS!W20</f>
        <v>185</v>
      </c>
      <c r="X28" s="50">
        <f t="shared" ref="X28:AK28" si="13">X11*X27</f>
        <v>188.66199935845589</v>
      </c>
      <c r="Y28" s="50">
        <f t="shared" si="13"/>
        <v>187.76421398911762</v>
      </c>
      <c r="Z28" s="50">
        <f t="shared" si="13"/>
        <v>185.69834637379282</v>
      </c>
      <c r="AA28" s="50">
        <f t="shared" si="13"/>
        <v>216.4017509178733</v>
      </c>
      <c r="AB28" s="50">
        <f t="shared" si="13"/>
        <v>223.91106842768377</v>
      </c>
      <c r="AC28" s="50">
        <f t="shared" si="13"/>
        <v>221.65737808607858</v>
      </c>
      <c r="AD28" s="50">
        <f t="shared" si="13"/>
        <v>218.51151482489027</v>
      </c>
      <c r="AE28" s="50">
        <f t="shared" si="13"/>
        <v>252.95900068673532</v>
      </c>
      <c r="AF28" s="50">
        <f t="shared" si="13"/>
        <v>260.40377424166718</v>
      </c>
      <c r="AG28" s="50">
        <f t="shared" si="13"/>
        <v>256.50283136345359</v>
      </c>
      <c r="AH28" s="50">
        <f t="shared" si="13"/>
        <v>251.73024684070052</v>
      </c>
      <c r="AI28" s="50">
        <f t="shared" si="13"/>
        <v>289.94868881205122</v>
      </c>
      <c r="AJ28" s="50">
        <f t="shared" si="13"/>
        <v>297.3205929979186</v>
      </c>
      <c r="AK28" s="50">
        <f t="shared" si="13"/>
        <v>291.75487157824193</v>
      </c>
    </row>
    <row r="29" spans="1:37" x14ac:dyDescent="0.45">
      <c r="A29" s="12" t="s">
        <v>640</v>
      </c>
      <c r="B29" s="4" t="s">
        <v>641</v>
      </c>
      <c r="C29" s="12" t="s">
        <v>70</v>
      </c>
      <c r="E29" s="56">
        <f t="shared" ref="E29:AK29" si="14">E16+E18+E20-E22-E24-E26</f>
        <v>-167</v>
      </c>
      <c r="F29" s="56">
        <f t="shared" si="14"/>
        <v>-199</v>
      </c>
      <c r="G29" s="56">
        <f t="shared" si="14"/>
        <v>-222</v>
      </c>
      <c r="H29" s="56">
        <f t="shared" si="14"/>
        <v>-169</v>
      </c>
      <c r="I29" s="56">
        <f t="shared" si="14"/>
        <v>-170</v>
      </c>
      <c r="J29" s="56">
        <f t="shared" si="14"/>
        <v>-179</v>
      </c>
      <c r="K29" s="56">
        <f t="shared" si="14"/>
        <v>-210</v>
      </c>
      <c r="L29" s="56">
        <f t="shared" si="14"/>
        <v>-211</v>
      </c>
      <c r="M29" s="56">
        <f t="shared" si="14"/>
        <v>-304</v>
      </c>
      <c r="N29" s="56">
        <f t="shared" si="14"/>
        <v>-313</v>
      </c>
      <c r="O29" s="56">
        <f t="shared" si="14"/>
        <v>-331</v>
      </c>
      <c r="P29" s="56">
        <f t="shared" si="14"/>
        <v>-345</v>
      </c>
      <c r="Q29" s="56">
        <f t="shared" si="14"/>
        <v>-376</v>
      </c>
      <c r="R29" s="56">
        <f t="shared" si="14"/>
        <v>-398</v>
      </c>
      <c r="S29" s="56">
        <f t="shared" si="14"/>
        <v>-447</v>
      </c>
      <c r="T29" s="56">
        <f t="shared" si="14"/>
        <v>-445</v>
      </c>
      <c r="U29" s="56">
        <f t="shared" si="14"/>
        <v>-450</v>
      </c>
      <c r="V29" s="56">
        <f t="shared" si="14"/>
        <v>-483</v>
      </c>
      <c r="W29" s="56">
        <f t="shared" si="14"/>
        <v>-383</v>
      </c>
      <c r="X29" s="56">
        <f t="shared" si="14"/>
        <v>-428.24922615345292</v>
      </c>
      <c r="Y29" s="56">
        <f t="shared" si="14"/>
        <v>-428.02861402710994</v>
      </c>
      <c r="Z29" s="56">
        <f t="shared" si="14"/>
        <v>-461.65179894010316</v>
      </c>
      <c r="AA29" s="56">
        <f t="shared" si="14"/>
        <v>-540.51993402174912</v>
      </c>
      <c r="AB29" s="56">
        <f t="shared" si="14"/>
        <v>-567.94288902069002</v>
      </c>
      <c r="AC29" s="56">
        <f t="shared" si="14"/>
        <v>-567.05328683990797</v>
      </c>
      <c r="AD29" s="56">
        <f t="shared" si="14"/>
        <v>-578.99427285594788</v>
      </c>
      <c r="AE29" s="56">
        <f t="shared" si="14"/>
        <v>-675.61794740030473</v>
      </c>
      <c r="AF29" s="56">
        <f t="shared" si="14"/>
        <v>-696.92321596346085</v>
      </c>
      <c r="AG29" s="56">
        <f t="shared" si="14"/>
        <v>-693.8478049570175</v>
      </c>
      <c r="AH29" s="56">
        <f t="shared" si="14"/>
        <v>-671.89981621717845</v>
      </c>
      <c r="AI29" s="56">
        <f t="shared" si="14"/>
        <v>-784.6107070270275</v>
      </c>
      <c r="AJ29" s="56">
        <f t="shared" si="14"/>
        <v>-803.64349637652253</v>
      </c>
      <c r="AK29" s="56">
        <f t="shared" si="14"/>
        <v>-797.25367091095393</v>
      </c>
    </row>
    <row r="30" spans="1:37" x14ac:dyDescent="0.45">
      <c r="A30" s="12" t="s">
        <v>642</v>
      </c>
      <c r="B30" s="3" t="s">
        <v>643</v>
      </c>
      <c r="C30" s="12" t="s">
        <v>70</v>
      </c>
      <c r="E30" s="50">
        <f t="shared" ref="E30:AK30" si="15">E29+E28</f>
        <v>-56</v>
      </c>
      <c r="F30" s="50">
        <f t="shared" si="15"/>
        <v>-84</v>
      </c>
      <c r="G30" s="50">
        <f t="shared" si="15"/>
        <v>-104</v>
      </c>
      <c r="H30" s="50">
        <f t="shared" si="15"/>
        <v>-41</v>
      </c>
      <c r="I30" s="50">
        <f t="shared" si="15"/>
        <v>-41</v>
      </c>
      <c r="J30" s="50">
        <f t="shared" si="15"/>
        <v>-42</v>
      </c>
      <c r="K30" s="50">
        <f t="shared" si="15"/>
        <v>-117</v>
      </c>
      <c r="L30" s="50">
        <f t="shared" si="15"/>
        <v>-116</v>
      </c>
      <c r="M30" s="50">
        <f t="shared" si="15"/>
        <v>-185</v>
      </c>
      <c r="N30" s="50">
        <f t="shared" si="15"/>
        <v>-189</v>
      </c>
      <c r="O30" s="50">
        <f t="shared" si="15"/>
        <v>-199</v>
      </c>
      <c r="P30" s="50">
        <f t="shared" si="15"/>
        <v>-206</v>
      </c>
      <c r="Q30" s="50">
        <f t="shared" si="15"/>
        <v>-233</v>
      </c>
      <c r="R30" s="50">
        <f t="shared" si="15"/>
        <v>-248</v>
      </c>
      <c r="S30" s="50">
        <f t="shared" si="15"/>
        <v>-286</v>
      </c>
      <c r="T30" s="50">
        <f t="shared" si="15"/>
        <v>-274</v>
      </c>
      <c r="U30" s="50">
        <f t="shared" si="15"/>
        <v>-304</v>
      </c>
      <c r="V30" s="50">
        <f t="shared" si="15"/>
        <v>-295</v>
      </c>
      <c r="W30" s="50">
        <f t="shared" si="15"/>
        <v>-198</v>
      </c>
      <c r="X30" s="50">
        <f t="shared" si="15"/>
        <v>-239.58722679499704</v>
      </c>
      <c r="Y30" s="50">
        <f t="shared" si="15"/>
        <v>-240.26440003799232</v>
      </c>
      <c r="Z30" s="50">
        <f t="shared" si="15"/>
        <v>-275.95345256631038</v>
      </c>
      <c r="AA30" s="50">
        <f t="shared" si="15"/>
        <v>-324.11818310387582</v>
      </c>
      <c r="AB30" s="50">
        <f t="shared" si="15"/>
        <v>-344.03182059300627</v>
      </c>
      <c r="AC30" s="50">
        <f t="shared" si="15"/>
        <v>-345.39590875382942</v>
      </c>
      <c r="AD30" s="50">
        <f t="shared" si="15"/>
        <v>-360.48275803105764</v>
      </c>
      <c r="AE30" s="50">
        <f t="shared" si="15"/>
        <v>-422.65894671356943</v>
      </c>
      <c r="AF30" s="50">
        <f t="shared" si="15"/>
        <v>-436.51944172179367</v>
      </c>
      <c r="AG30" s="50">
        <f t="shared" si="15"/>
        <v>-437.34497359356391</v>
      </c>
      <c r="AH30" s="50">
        <f t="shared" si="15"/>
        <v>-420.16956937647797</v>
      </c>
      <c r="AI30" s="50">
        <f t="shared" si="15"/>
        <v>-494.66201821497629</v>
      </c>
      <c r="AJ30" s="50">
        <f t="shared" si="15"/>
        <v>-506.32290337860394</v>
      </c>
      <c r="AK30" s="50">
        <f t="shared" si="15"/>
        <v>-505.498799332712</v>
      </c>
    </row>
    <row r="31" spans="1:37" x14ac:dyDescent="0.45">
      <c r="A31" s="12" t="s">
        <v>644</v>
      </c>
      <c r="B31" s="57" t="s">
        <v>645</v>
      </c>
      <c r="C31" s="12" t="s">
        <v>70</v>
      </c>
      <c r="F31" s="50">
        <f t="shared" ref="F31:AK31" si="16">E18-F18</f>
        <v>-2</v>
      </c>
      <c r="G31" s="50">
        <f t="shared" si="16"/>
        <v>-18</v>
      </c>
      <c r="H31" s="50">
        <f t="shared" si="16"/>
        <v>-33</v>
      </c>
      <c r="I31" s="50">
        <f t="shared" si="16"/>
        <v>-15</v>
      </c>
      <c r="J31" s="50">
        <f t="shared" si="16"/>
        <v>-2</v>
      </c>
      <c r="K31" s="50">
        <f t="shared" si="16"/>
        <v>5</v>
      </c>
      <c r="L31" s="50">
        <f t="shared" si="16"/>
        <v>9</v>
      </c>
      <c r="M31" s="50">
        <f t="shared" si="16"/>
        <v>-20</v>
      </c>
      <c r="N31" s="50">
        <f t="shared" si="16"/>
        <v>-2</v>
      </c>
      <c r="O31" s="50">
        <f t="shared" si="16"/>
        <v>10</v>
      </c>
      <c r="P31" s="50">
        <f t="shared" si="16"/>
        <v>4</v>
      </c>
      <c r="Q31" s="50">
        <f t="shared" si="16"/>
        <v>-12</v>
      </c>
      <c r="R31" s="50">
        <f t="shared" si="16"/>
        <v>7</v>
      </c>
      <c r="S31" s="50">
        <f t="shared" si="16"/>
        <v>8</v>
      </c>
      <c r="T31" s="50">
        <f t="shared" si="16"/>
        <v>-1</v>
      </c>
      <c r="U31" s="50">
        <f t="shared" si="16"/>
        <v>-10</v>
      </c>
      <c r="V31" s="50">
        <f t="shared" si="16"/>
        <v>-22</v>
      </c>
      <c r="W31" s="50">
        <f t="shared" si="16"/>
        <v>-81</v>
      </c>
      <c r="X31" s="50">
        <f t="shared" si="16"/>
        <v>19.601342710997443</v>
      </c>
      <c r="Y31" s="50">
        <f t="shared" si="16"/>
        <v>-9.3999360613810836</v>
      </c>
      <c r="Z31" s="50">
        <f t="shared" si="16"/>
        <v>68.478593350383619</v>
      </c>
      <c r="AA31" s="50">
        <f t="shared" si="16"/>
        <v>-44.079999999999984</v>
      </c>
      <c r="AB31" s="50">
        <f t="shared" si="16"/>
        <v>24.53478260869565</v>
      </c>
      <c r="AC31" s="50">
        <f t="shared" si="16"/>
        <v>-7.5173913043478251</v>
      </c>
      <c r="AD31" s="50">
        <f t="shared" si="16"/>
        <v>51.369421882465375</v>
      </c>
      <c r="AE31" s="50">
        <f t="shared" si="16"/>
        <v>-38.004395604395611</v>
      </c>
      <c r="AF31" s="50">
        <f t="shared" si="16"/>
        <v>20.448017200191089</v>
      </c>
      <c r="AG31" s="50">
        <f t="shared" si="16"/>
        <v>-6.2652173913043043</v>
      </c>
      <c r="AH31" s="50">
        <f t="shared" si="16"/>
        <v>24.314782608695637</v>
      </c>
      <c r="AI31" s="50">
        <f t="shared" si="16"/>
        <v>-36.176703296703309</v>
      </c>
      <c r="AJ31" s="50">
        <f t="shared" si="16"/>
        <v>20.135833731485917</v>
      </c>
      <c r="AK31" s="50">
        <f t="shared" si="16"/>
        <v>-6.1695652173912947</v>
      </c>
    </row>
    <row r="32" spans="1:37" x14ac:dyDescent="0.45">
      <c r="A32" s="12" t="s">
        <v>646</v>
      </c>
      <c r="B32" s="3" t="s">
        <v>647</v>
      </c>
      <c r="C32" s="12" t="s">
        <v>70</v>
      </c>
      <c r="F32" s="50">
        <f t="shared" ref="F32:AK32" si="17">E30-F30</f>
        <v>28</v>
      </c>
      <c r="G32" s="50">
        <f t="shared" si="17"/>
        <v>20</v>
      </c>
      <c r="H32" s="50">
        <f t="shared" si="17"/>
        <v>-63</v>
      </c>
      <c r="I32" s="50">
        <f t="shared" si="17"/>
        <v>0</v>
      </c>
      <c r="J32" s="50">
        <f t="shared" si="17"/>
        <v>1</v>
      </c>
      <c r="K32" s="50">
        <f t="shared" si="17"/>
        <v>75</v>
      </c>
      <c r="L32" s="50">
        <f t="shared" si="17"/>
        <v>-1</v>
      </c>
      <c r="M32" s="50">
        <f t="shared" si="17"/>
        <v>69</v>
      </c>
      <c r="N32" s="50">
        <f t="shared" si="17"/>
        <v>4</v>
      </c>
      <c r="O32" s="50">
        <f t="shared" si="17"/>
        <v>10</v>
      </c>
      <c r="P32" s="50">
        <f t="shared" si="17"/>
        <v>7</v>
      </c>
      <c r="Q32" s="50">
        <f t="shared" si="17"/>
        <v>27</v>
      </c>
      <c r="R32" s="50">
        <f t="shared" si="17"/>
        <v>15</v>
      </c>
      <c r="S32" s="50">
        <f t="shared" si="17"/>
        <v>38</v>
      </c>
      <c r="T32" s="50">
        <f t="shared" si="17"/>
        <v>-12</v>
      </c>
      <c r="U32" s="50">
        <f t="shared" si="17"/>
        <v>30</v>
      </c>
      <c r="V32" s="50">
        <f t="shared" si="17"/>
        <v>-9</v>
      </c>
      <c r="W32" s="50">
        <f t="shared" si="17"/>
        <v>-97</v>
      </c>
      <c r="X32" s="50">
        <f t="shared" si="17"/>
        <v>41.587226794997036</v>
      </c>
      <c r="Y32" s="50">
        <f t="shared" si="17"/>
        <v>0.67717324299528059</v>
      </c>
      <c r="Z32" s="50">
        <f t="shared" si="17"/>
        <v>35.689052528318058</v>
      </c>
      <c r="AA32" s="50">
        <f t="shared" si="17"/>
        <v>48.164730537565447</v>
      </c>
      <c r="AB32" s="50">
        <f t="shared" si="17"/>
        <v>19.913637489130451</v>
      </c>
      <c r="AC32" s="50">
        <f t="shared" si="17"/>
        <v>1.3640881608231439</v>
      </c>
      <c r="AD32" s="50">
        <f t="shared" si="17"/>
        <v>15.086849277228225</v>
      </c>
      <c r="AE32" s="50">
        <f t="shared" si="17"/>
        <v>62.176188682511793</v>
      </c>
      <c r="AF32" s="50">
        <f t="shared" si="17"/>
        <v>13.860495008224234</v>
      </c>
      <c r="AG32" s="50">
        <f t="shared" si="17"/>
        <v>0.82553187177023801</v>
      </c>
      <c r="AH32" s="50">
        <f t="shared" si="17"/>
        <v>-17.175404217085941</v>
      </c>
      <c r="AI32" s="50">
        <f t="shared" si="17"/>
        <v>74.492448838498319</v>
      </c>
      <c r="AJ32" s="50">
        <f t="shared" si="17"/>
        <v>11.660885163627654</v>
      </c>
      <c r="AK32" s="50">
        <f t="shared" si="17"/>
        <v>-0.82410404589194286</v>
      </c>
    </row>
    <row r="33" spans="1:37" x14ac:dyDescent="0.45">
      <c r="A33" s="21"/>
      <c r="B33" s="22" t="s">
        <v>648</v>
      </c>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row>
    <row r="34" spans="1:37" x14ac:dyDescent="0.45">
      <c r="A34" s="12" t="s">
        <v>649</v>
      </c>
      <c r="B34" s="3" t="s">
        <v>650</v>
      </c>
      <c r="C34" s="12" t="s">
        <v>70</v>
      </c>
      <c r="F34" s="50">
        <f t="shared" ref="F34:AK34" si="18">E37</f>
        <v>41</v>
      </c>
      <c r="G34" s="50">
        <f t="shared" si="18"/>
        <v>42</v>
      </c>
      <c r="H34" s="50">
        <f t="shared" si="18"/>
        <v>45</v>
      </c>
      <c r="I34" s="50">
        <f t="shared" si="18"/>
        <v>54</v>
      </c>
      <c r="J34" s="50">
        <f t="shared" si="18"/>
        <v>61</v>
      </c>
      <c r="K34" s="50">
        <f t="shared" si="18"/>
        <v>70</v>
      </c>
      <c r="L34" s="50">
        <f t="shared" si="18"/>
        <v>61</v>
      </c>
      <c r="M34" s="50">
        <f t="shared" si="18"/>
        <v>69</v>
      </c>
      <c r="N34" s="50">
        <f t="shared" si="18"/>
        <v>75</v>
      </c>
      <c r="O34" s="50">
        <f t="shared" si="18"/>
        <v>82</v>
      </c>
      <c r="P34" s="50">
        <f t="shared" si="18"/>
        <v>90</v>
      </c>
      <c r="Q34" s="50">
        <f t="shared" si="18"/>
        <v>95</v>
      </c>
      <c r="R34" s="50">
        <f t="shared" si="18"/>
        <v>98</v>
      </c>
      <c r="S34" s="50">
        <f t="shared" si="18"/>
        <v>93</v>
      </c>
      <c r="T34" s="50">
        <f t="shared" si="18"/>
        <v>96</v>
      </c>
      <c r="U34" s="50">
        <f t="shared" si="18"/>
        <v>100</v>
      </c>
      <c r="V34" s="50">
        <f t="shared" si="18"/>
        <v>132</v>
      </c>
      <c r="W34" s="50">
        <f t="shared" si="18"/>
        <v>114</v>
      </c>
      <c r="X34" s="50">
        <f t="shared" si="18"/>
        <v>149</v>
      </c>
      <c r="Y34" s="50">
        <f t="shared" si="18"/>
        <v>151.72528415312499</v>
      </c>
      <c r="Z34" s="50">
        <f t="shared" si="18"/>
        <v>154.1113381470781</v>
      </c>
      <c r="AA34" s="50">
        <f t="shared" si="18"/>
        <v>156.08587622497134</v>
      </c>
      <c r="AB34" s="50">
        <f t="shared" si="18"/>
        <v>160.61997990782984</v>
      </c>
      <c r="AC34" s="50">
        <f t="shared" si="18"/>
        <v>165.39523004432613</v>
      </c>
      <c r="AD34" s="50">
        <f t="shared" si="18"/>
        <v>169.51518543992216</v>
      </c>
      <c r="AE34" s="50">
        <f t="shared" si="18"/>
        <v>172.96227309693552</v>
      </c>
      <c r="AF34" s="50">
        <f t="shared" si="18"/>
        <v>179.1640308983819</v>
      </c>
      <c r="AG34" s="50">
        <f t="shared" si="18"/>
        <v>185.44273302676373</v>
      </c>
      <c r="AH34" s="50">
        <f t="shared" si="18"/>
        <v>190.77592672174072</v>
      </c>
      <c r="AI34" s="50">
        <f t="shared" si="18"/>
        <v>195.17544629523803</v>
      </c>
      <c r="AJ34" s="50">
        <f t="shared" si="18"/>
        <v>202.57655631721605</v>
      </c>
      <c r="AK34" s="50">
        <f t="shared" si="18"/>
        <v>209.93415231426272</v>
      </c>
    </row>
    <row r="35" spans="1:37" x14ac:dyDescent="0.45">
      <c r="A35" s="12" t="s">
        <v>580</v>
      </c>
      <c r="B35" s="3" t="s">
        <v>651</v>
      </c>
      <c r="C35" s="12" t="s">
        <v>70</v>
      </c>
      <c r="E35" s="13">
        <f>Hist_Q!E42</f>
        <v>3</v>
      </c>
      <c r="F35" s="13">
        <f>Hist_Q!F42</f>
        <v>3</v>
      </c>
      <c r="G35" s="13">
        <f>Hist_Q!G42</f>
        <v>9</v>
      </c>
      <c r="H35" s="13">
        <f>Hist_Q!H42</f>
        <v>11</v>
      </c>
      <c r="I35" s="13">
        <f>Hist_Q!I42</f>
        <v>10</v>
      </c>
      <c r="J35" s="13">
        <f>Hist_Q!J42</f>
        <v>10</v>
      </c>
      <c r="K35" s="13">
        <f>Hist_Q!K42</f>
        <v>11</v>
      </c>
      <c r="L35" s="13">
        <f>Hist_Q!L42</f>
        <v>10</v>
      </c>
      <c r="M35" s="13">
        <f>Hist_Q!M42</f>
        <v>11</v>
      </c>
      <c r="N35" s="13">
        <f>Hist_Q!N42</f>
        <v>13</v>
      </c>
      <c r="O35" s="13">
        <f>Hist_Q!O42</f>
        <v>16</v>
      </c>
      <c r="P35" s="13">
        <f>Hist_Q!P42</f>
        <v>12</v>
      </c>
      <c r="Q35" s="13">
        <f>Hist_Q!Q42</f>
        <v>13</v>
      </c>
      <c r="R35" s="13">
        <f>Hist_Q!R42</f>
        <v>10</v>
      </c>
      <c r="S35" s="13">
        <f>Hist_Q!S42</f>
        <v>15</v>
      </c>
      <c r="T35" s="13">
        <f>Hist_Q!T42</f>
        <v>12</v>
      </c>
      <c r="U35" s="13">
        <f>Hist_Q!U42</f>
        <v>16</v>
      </c>
      <c r="V35" s="13">
        <f>Hist_Q!V42</f>
        <v>17</v>
      </c>
      <c r="W35" s="13">
        <f>Hist_Q!W42</f>
        <v>14</v>
      </c>
      <c r="X35" s="13">
        <f>X11*Drivers!X40</f>
        <v>16.880284153125</v>
      </c>
      <c r="Y35" s="13">
        <f>Y11*Drivers!Y40</f>
        <v>16.799955988499999</v>
      </c>
      <c r="Z35" s="13">
        <f>Z11*Drivers!Z40</f>
        <v>16.615115201865674</v>
      </c>
      <c r="AA35" s="13">
        <f>AA11*Drivers!AA40</f>
        <v>19.362261924230769</v>
      </c>
      <c r="AB35" s="13">
        <f>AB11*Drivers!AB40</f>
        <v>20.034148227740129</v>
      </c>
      <c r="AC35" s="13">
        <f>AC11*Drivers!AC40</f>
        <v>19.832502249807032</v>
      </c>
      <c r="AD35" s="13">
        <f>AD11*Drivers!AD40</f>
        <v>19.551030273805974</v>
      </c>
      <c r="AE35" s="13">
        <f>AE11*Drivers!AE40</f>
        <v>22.633173745655267</v>
      </c>
      <c r="AF35" s="13">
        <f>AF11*Drivers!AF40</f>
        <v>23.299285063728121</v>
      </c>
      <c r="AG35" s="13">
        <f>AG11*Drivers!AG40</f>
        <v>22.95025333251953</v>
      </c>
      <c r="AH35" s="13">
        <f>AH11*Drivers!AH40</f>
        <v>22.523232612062682</v>
      </c>
      <c r="AI35" s="13">
        <f>AI11*Drivers!AI40</f>
        <v>25.942777420025639</v>
      </c>
      <c r="AJ35" s="13">
        <f>AJ11*Drivers!AJ40</f>
        <v>26.602368847182195</v>
      </c>
      <c r="AK35" s="13">
        <f>AK11*Drivers!AK40</f>
        <v>26.104383246474281</v>
      </c>
    </row>
    <row r="36" spans="1:37" x14ac:dyDescent="0.45">
      <c r="A36" s="12" t="s">
        <v>652</v>
      </c>
      <c r="B36" s="3" t="s">
        <v>653</v>
      </c>
      <c r="C36" s="12" t="s">
        <v>70</v>
      </c>
      <c r="E36" s="13">
        <f>Hist_Q!E39-E41</f>
        <v>4</v>
      </c>
      <c r="F36" s="13">
        <f>Hist_Q!F39-F41</f>
        <v>5</v>
      </c>
      <c r="G36" s="13">
        <f>Hist_Q!G39-G41</f>
        <v>5</v>
      </c>
      <c r="H36" s="13">
        <f>Hist_Q!H39-H41</f>
        <v>5</v>
      </c>
      <c r="I36" s="13">
        <f>Hist_Q!I39-I41</f>
        <v>5</v>
      </c>
      <c r="J36" s="13">
        <f>Hist_Q!J39-J41</f>
        <v>5</v>
      </c>
      <c r="K36" s="13">
        <f>Hist_Q!K39-K41</f>
        <v>7</v>
      </c>
      <c r="L36" s="13">
        <f>Hist_Q!L39-L41</f>
        <v>7</v>
      </c>
      <c r="M36" s="13">
        <f>Hist_Q!M39-M41</f>
        <v>9</v>
      </c>
      <c r="N36" s="13">
        <f>Hist_Q!N39-N41</f>
        <v>10</v>
      </c>
      <c r="O36" s="13">
        <f>Hist_Q!O39-O41</f>
        <v>11</v>
      </c>
      <c r="P36" s="13">
        <f>Hist_Q!P39-P41</f>
        <v>11</v>
      </c>
      <c r="Q36" s="13">
        <f>Hist_Q!Q39-Q41</f>
        <v>10</v>
      </c>
      <c r="R36" s="13">
        <f>Hist_Q!R39-R41</f>
        <v>18</v>
      </c>
      <c r="S36" s="13">
        <f>Hist_Q!S39-S41</f>
        <v>15</v>
      </c>
      <c r="T36" s="13">
        <f>Hist_Q!T39-T41</f>
        <v>12</v>
      </c>
      <c r="U36" s="13">
        <f>Hist_Q!U39-U41</f>
        <v>14</v>
      </c>
      <c r="V36" s="13">
        <f>Hist_Q!V39-V41</f>
        <v>9</v>
      </c>
      <c r="W36" s="13">
        <f>Hist_Q!W39-W41</f>
        <v>11</v>
      </c>
      <c r="X36" s="13">
        <f>X34*Drivers!X41</f>
        <v>14.154999999999999</v>
      </c>
      <c r="Y36" s="13">
        <f>Y34*Drivers!Y41</f>
        <v>14.413901994546874</v>
      </c>
      <c r="Z36" s="13">
        <f>Z34*Drivers!Z41</f>
        <v>14.64057712397242</v>
      </c>
      <c r="AA36" s="13">
        <f>AA34*Drivers!AA41</f>
        <v>14.828158241372277</v>
      </c>
      <c r="AB36" s="13">
        <f>AB34*Drivers!AB41</f>
        <v>15.258898091243836</v>
      </c>
      <c r="AC36" s="13">
        <f>AC34*Drivers!AC41</f>
        <v>15.712546854210983</v>
      </c>
      <c r="AD36" s="13">
        <f>AD34*Drivers!AD41</f>
        <v>16.103942616792605</v>
      </c>
      <c r="AE36" s="13">
        <f>AE34*Drivers!AE41</f>
        <v>16.431415944208876</v>
      </c>
      <c r="AF36" s="13">
        <f>AF34*Drivers!AF41</f>
        <v>17.02058293534628</v>
      </c>
      <c r="AG36" s="13">
        <f>AG34*Drivers!AG41</f>
        <v>17.617059637542553</v>
      </c>
      <c r="AH36" s="13">
        <f>AH34*Drivers!AH41</f>
        <v>18.12371303856537</v>
      </c>
      <c r="AI36" s="13">
        <f>AI34*Drivers!AI41</f>
        <v>18.541667398047615</v>
      </c>
      <c r="AJ36" s="13">
        <f>AJ34*Drivers!AJ41</f>
        <v>19.244772850135526</v>
      </c>
      <c r="AK36" s="13">
        <f>AK34*Drivers!AK41</f>
        <v>19.943744469854959</v>
      </c>
    </row>
    <row r="37" spans="1:37" x14ac:dyDescent="0.45">
      <c r="A37" s="12" t="s">
        <v>654</v>
      </c>
      <c r="B37" s="4" t="s">
        <v>655</v>
      </c>
      <c r="C37" s="12" t="s">
        <v>70</v>
      </c>
      <c r="E37" s="48">
        <f>BS!E17</f>
        <v>41</v>
      </c>
      <c r="F37" s="48">
        <f>BS!F17</f>
        <v>42</v>
      </c>
      <c r="G37" s="48">
        <f>BS!G17</f>
        <v>45</v>
      </c>
      <c r="H37" s="48">
        <f>BS!H17</f>
        <v>54</v>
      </c>
      <c r="I37" s="48">
        <f>BS!I17</f>
        <v>61</v>
      </c>
      <c r="J37" s="48">
        <f>BS!J17</f>
        <v>70</v>
      </c>
      <c r="K37" s="48">
        <f>BS!K17</f>
        <v>61</v>
      </c>
      <c r="L37" s="48">
        <f>BS!L17</f>
        <v>69</v>
      </c>
      <c r="M37" s="48">
        <f>BS!M17</f>
        <v>75</v>
      </c>
      <c r="N37" s="48">
        <f>BS!N17</f>
        <v>82</v>
      </c>
      <c r="O37" s="48">
        <f>BS!O17</f>
        <v>90</v>
      </c>
      <c r="P37" s="48">
        <f>BS!P17</f>
        <v>95</v>
      </c>
      <c r="Q37" s="48">
        <f>BS!Q17</f>
        <v>98</v>
      </c>
      <c r="R37" s="48">
        <f>BS!R17</f>
        <v>93</v>
      </c>
      <c r="S37" s="48">
        <f>BS!S17</f>
        <v>96</v>
      </c>
      <c r="T37" s="48">
        <f>BS!T17</f>
        <v>100</v>
      </c>
      <c r="U37" s="48">
        <f>BS!U17</f>
        <v>132</v>
      </c>
      <c r="V37" s="48">
        <f>BS!V17</f>
        <v>114</v>
      </c>
      <c r="W37" s="48">
        <f>BS!W17</f>
        <v>149</v>
      </c>
      <c r="X37" s="49">
        <f t="shared" ref="X37:AK37" si="19">X34+X35-X36</f>
        <v>151.72528415312499</v>
      </c>
      <c r="Y37" s="49">
        <f t="shared" si="19"/>
        <v>154.1113381470781</v>
      </c>
      <c r="Z37" s="49">
        <f t="shared" si="19"/>
        <v>156.08587622497134</v>
      </c>
      <c r="AA37" s="49">
        <f t="shared" si="19"/>
        <v>160.61997990782984</v>
      </c>
      <c r="AB37" s="49">
        <f t="shared" si="19"/>
        <v>165.39523004432613</v>
      </c>
      <c r="AC37" s="49">
        <f t="shared" si="19"/>
        <v>169.51518543992216</v>
      </c>
      <c r="AD37" s="49">
        <f t="shared" si="19"/>
        <v>172.96227309693552</v>
      </c>
      <c r="AE37" s="49">
        <f t="shared" si="19"/>
        <v>179.1640308983819</v>
      </c>
      <c r="AF37" s="49">
        <f t="shared" si="19"/>
        <v>185.44273302676373</v>
      </c>
      <c r="AG37" s="49">
        <f t="shared" si="19"/>
        <v>190.77592672174072</v>
      </c>
      <c r="AH37" s="49">
        <f t="shared" si="19"/>
        <v>195.17544629523803</v>
      </c>
      <c r="AI37" s="49">
        <f t="shared" si="19"/>
        <v>202.57655631721605</v>
      </c>
      <c r="AJ37" s="49">
        <f t="shared" si="19"/>
        <v>209.93415231426272</v>
      </c>
      <c r="AK37" s="49">
        <f t="shared" si="19"/>
        <v>216.09479109088204</v>
      </c>
    </row>
    <row r="38" spans="1:37" x14ac:dyDescent="0.45">
      <c r="A38" s="12" t="s">
        <v>656</v>
      </c>
      <c r="B38" s="3" t="s">
        <v>657</v>
      </c>
      <c r="C38" s="12" t="s">
        <v>70</v>
      </c>
      <c r="F38" s="50">
        <f t="shared" ref="F38:W38" si="20">F37-F34-F35+F36</f>
        <v>3</v>
      </c>
      <c r="G38" s="50">
        <f t="shared" si="20"/>
        <v>-1</v>
      </c>
      <c r="H38" s="50">
        <f t="shared" si="20"/>
        <v>3</v>
      </c>
      <c r="I38" s="50">
        <f t="shared" si="20"/>
        <v>2</v>
      </c>
      <c r="J38" s="50">
        <f t="shared" si="20"/>
        <v>4</v>
      </c>
      <c r="K38" s="50">
        <f t="shared" si="20"/>
        <v>-13</v>
      </c>
      <c r="L38" s="50">
        <f t="shared" si="20"/>
        <v>5</v>
      </c>
      <c r="M38" s="50">
        <f t="shared" si="20"/>
        <v>4</v>
      </c>
      <c r="N38" s="50">
        <f t="shared" si="20"/>
        <v>4</v>
      </c>
      <c r="O38" s="50">
        <f t="shared" si="20"/>
        <v>3</v>
      </c>
      <c r="P38" s="50">
        <f t="shared" si="20"/>
        <v>4</v>
      </c>
      <c r="Q38" s="50">
        <f t="shared" si="20"/>
        <v>0</v>
      </c>
      <c r="R38" s="50">
        <f t="shared" si="20"/>
        <v>3</v>
      </c>
      <c r="S38" s="50">
        <f t="shared" si="20"/>
        <v>3</v>
      </c>
      <c r="T38" s="50">
        <f t="shared" si="20"/>
        <v>4</v>
      </c>
      <c r="U38" s="50">
        <f t="shared" si="20"/>
        <v>30</v>
      </c>
      <c r="V38" s="50">
        <f t="shared" si="20"/>
        <v>-26</v>
      </c>
      <c r="W38" s="50">
        <f t="shared" si="20"/>
        <v>32</v>
      </c>
    </row>
    <row r="39" spans="1:37" x14ac:dyDescent="0.45">
      <c r="A39" s="12" t="s">
        <v>658</v>
      </c>
      <c r="B39" s="3" t="s">
        <v>659</v>
      </c>
      <c r="C39" s="12" t="s">
        <v>73</v>
      </c>
      <c r="F39" s="51">
        <f t="shared" ref="F39:AK39" si="21">F36/F34</f>
        <v>0.12195121951219512</v>
      </c>
      <c r="G39" s="51">
        <f t="shared" si="21"/>
        <v>0.11904761904761904</v>
      </c>
      <c r="H39" s="51">
        <f t="shared" si="21"/>
        <v>0.1111111111111111</v>
      </c>
      <c r="I39" s="51">
        <f t="shared" si="21"/>
        <v>9.2592592592592587E-2</v>
      </c>
      <c r="J39" s="51">
        <f t="shared" si="21"/>
        <v>8.1967213114754092E-2</v>
      </c>
      <c r="K39" s="51">
        <f t="shared" si="21"/>
        <v>0.1</v>
      </c>
      <c r="L39" s="51">
        <f t="shared" si="21"/>
        <v>0.11475409836065574</v>
      </c>
      <c r="M39" s="51">
        <f t="shared" si="21"/>
        <v>0.13043478260869565</v>
      </c>
      <c r="N39" s="51">
        <f t="shared" si="21"/>
        <v>0.13333333333333333</v>
      </c>
      <c r="O39" s="51">
        <f t="shared" si="21"/>
        <v>0.13414634146341464</v>
      </c>
      <c r="P39" s="51">
        <f t="shared" si="21"/>
        <v>0.12222222222222222</v>
      </c>
      <c r="Q39" s="51">
        <f t="shared" si="21"/>
        <v>0.10526315789473684</v>
      </c>
      <c r="R39" s="51">
        <f t="shared" si="21"/>
        <v>0.18367346938775511</v>
      </c>
      <c r="S39" s="51">
        <f t="shared" si="21"/>
        <v>0.16129032258064516</v>
      </c>
      <c r="T39" s="51">
        <f t="shared" si="21"/>
        <v>0.125</v>
      </c>
      <c r="U39" s="51">
        <f t="shared" si="21"/>
        <v>0.14000000000000001</v>
      </c>
      <c r="V39" s="51">
        <f t="shared" si="21"/>
        <v>6.8181818181818177E-2</v>
      </c>
      <c r="W39" s="51">
        <f t="shared" si="21"/>
        <v>9.6491228070175433E-2</v>
      </c>
      <c r="X39" s="51">
        <f t="shared" si="21"/>
        <v>9.5000000000000001E-2</v>
      </c>
      <c r="Y39" s="51">
        <f t="shared" si="21"/>
        <v>9.5000000000000001E-2</v>
      </c>
      <c r="Z39" s="51">
        <f t="shared" si="21"/>
        <v>9.5000000000000001E-2</v>
      </c>
      <c r="AA39" s="51">
        <f t="shared" si="21"/>
        <v>9.5000000000000001E-2</v>
      </c>
      <c r="AB39" s="51">
        <f t="shared" si="21"/>
        <v>9.5000000000000001E-2</v>
      </c>
      <c r="AC39" s="51">
        <f t="shared" si="21"/>
        <v>9.5000000000000001E-2</v>
      </c>
      <c r="AD39" s="51">
        <f t="shared" si="21"/>
        <v>9.4999999999999987E-2</v>
      </c>
      <c r="AE39" s="51">
        <f t="shared" si="21"/>
        <v>9.5000000000000015E-2</v>
      </c>
      <c r="AF39" s="51">
        <f t="shared" si="21"/>
        <v>9.5000000000000001E-2</v>
      </c>
      <c r="AG39" s="51">
        <f t="shared" si="21"/>
        <v>9.4999999999999987E-2</v>
      </c>
      <c r="AH39" s="51">
        <f t="shared" si="21"/>
        <v>9.5000000000000015E-2</v>
      </c>
      <c r="AI39" s="51">
        <f t="shared" si="21"/>
        <v>9.5000000000000015E-2</v>
      </c>
      <c r="AJ39" s="51">
        <f t="shared" si="21"/>
        <v>9.5000000000000001E-2</v>
      </c>
      <c r="AK39" s="51">
        <f t="shared" si="21"/>
        <v>9.5000000000000001E-2</v>
      </c>
    </row>
    <row r="40" spans="1:37" x14ac:dyDescent="0.45">
      <c r="A40" s="12" t="s">
        <v>660</v>
      </c>
      <c r="B40" s="3" t="s">
        <v>661</v>
      </c>
      <c r="C40" s="12" t="s">
        <v>70</v>
      </c>
      <c r="F40" s="50">
        <f t="shared" ref="F40:AK40" si="22">E42</f>
        <v>90</v>
      </c>
      <c r="G40" s="50">
        <f t="shared" si="22"/>
        <v>89</v>
      </c>
      <c r="H40" s="50">
        <f t="shared" si="22"/>
        <v>87</v>
      </c>
      <c r="I40" s="50">
        <f t="shared" si="22"/>
        <v>138</v>
      </c>
      <c r="J40" s="50">
        <f t="shared" si="22"/>
        <v>136</v>
      </c>
      <c r="K40" s="50">
        <f t="shared" si="22"/>
        <v>144</v>
      </c>
      <c r="L40" s="50">
        <f t="shared" si="22"/>
        <v>143</v>
      </c>
      <c r="M40" s="50">
        <f t="shared" si="22"/>
        <v>141</v>
      </c>
      <c r="N40" s="50">
        <f t="shared" si="22"/>
        <v>139</v>
      </c>
      <c r="O40" s="50">
        <f t="shared" si="22"/>
        <v>138</v>
      </c>
      <c r="P40" s="50">
        <f t="shared" si="22"/>
        <v>136</v>
      </c>
      <c r="Q40" s="50">
        <f t="shared" si="22"/>
        <v>135</v>
      </c>
      <c r="R40" s="50">
        <f t="shared" si="22"/>
        <v>133</v>
      </c>
      <c r="S40" s="50">
        <f t="shared" si="22"/>
        <v>132</v>
      </c>
      <c r="T40" s="50">
        <f t="shared" si="22"/>
        <v>130</v>
      </c>
      <c r="U40" s="50">
        <f t="shared" si="22"/>
        <v>129</v>
      </c>
      <c r="V40" s="50">
        <f t="shared" si="22"/>
        <v>127</v>
      </c>
      <c r="W40" s="50">
        <f t="shared" si="22"/>
        <v>126</v>
      </c>
      <c r="X40" s="50">
        <f t="shared" si="22"/>
        <v>124</v>
      </c>
      <c r="Y40" s="50">
        <f t="shared" si="22"/>
        <v>123</v>
      </c>
      <c r="Z40" s="50">
        <f t="shared" si="22"/>
        <v>122</v>
      </c>
      <c r="AA40" s="50">
        <f t="shared" si="22"/>
        <v>121</v>
      </c>
      <c r="AB40" s="50">
        <f t="shared" si="22"/>
        <v>120</v>
      </c>
      <c r="AC40" s="50">
        <f t="shared" si="22"/>
        <v>119</v>
      </c>
      <c r="AD40" s="50">
        <f t="shared" si="22"/>
        <v>118</v>
      </c>
      <c r="AE40" s="50">
        <f t="shared" si="22"/>
        <v>117</v>
      </c>
      <c r="AF40" s="50">
        <f t="shared" si="22"/>
        <v>116</v>
      </c>
      <c r="AG40" s="50">
        <f t="shared" si="22"/>
        <v>115</v>
      </c>
      <c r="AH40" s="50">
        <f t="shared" si="22"/>
        <v>114</v>
      </c>
      <c r="AI40" s="50">
        <f t="shared" si="22"/>
        <v>113</v>
      </c>
      <c r="AJ40" s="50">
        <f t="shared" si="22"/>
        <v>112</v>
      </c>
      <c r="AK40" s="50">
        <f t="shared" si="22"/>
        <v>111</v>
      </c>
    </row>
    <row r="41" spans="1:37" x14ac:dyDescent="0.45">
      <c r="A41" s="12" t="s">
        <v>662</v>
      </c>
      <c r="B41" s="3" t="s">
        <v>663</v>
      </c>
      <c r="C41" s="12" t="s">
        <v>70</v>
      </c>
      <c r="E41" s="13">
        <f>Rev_Build!E55</f>
        <v>1</v>
      </c>
      <c r="F41" s="13">
        <f>Rev_Build!F55</f>
        <v>1</v>
      </c>
      <c r="G41" s="13">
        <f>Rev_Build!G55</f>
        <v>1</v>
      </c>
      <c r="H41" s="13">
        <f>Rev_Build!H55</f>
        <v>1</v>
      </c>
      <c r="I41" s="13">
        <f>Rev_Build!I55</f>
        <v>1</v>
      </c>
      <c r="J41" s="13">
        <f>Rev_Build!J55</f>
        <v>1</v>
      </c>
      <c r="K41" s="13">
        <f>Rev_Build!K55</f>
        <v>1</v>
      </c>
      <c r="L41" s="13">
        <f>Rev_Build!L55</f>
        <v>1</v>
      </c>
      <c r="M41" s="13">
        <f>Rev_Build!M55</f>
        <v>1</v>
      </c>
      <c r="N41" s="13">
        <f>Rev_Build!N55</f>
        <v>1</v>
      </c>
      <c r="O41" s="13">
        <f>Rev_Build!O55</f>
        <v>1</v>
      </c>
      <c r="P41" s="13">
        <f>Rev_Build!P55</f>
        <v>1</v>
      </c>
      <c r="Q41" s="13">
        <f>Rev_Build!Q55</f>
        <v>1</v>
      </c>
      <c r="R41" s="13">
        <f>Rev_Build!R55</f>
        <v>1</v>
      </c>
      <c r="S41" s="13">
        <f>Rev_Build!S55</f>
        <v>1</v>
      </c>
      <c r="T41" s="13">
        <f>Rev_Build!T55</f>
        <v>1</v>
      </c>
      <c r="U41" s="13">
        <f>Rev_Build!U55</f>
        <v>2</v>
      </c>
      <c r="V41" s="13">
        <f>Rev_Build!V55</f>
        <v>1</v>
      </c>
      <c r="W41" s="13">
        <f>Rev_Build!W55</f>
        <v>1</v>
      </c>
      <c r="X41" s="13">
        <f>Rev_Build!X55</f>
        <v>1</v>
      </c>
      <c r="Y41" s="13">
        <f>Rev_Build!Y55</f>
        <v>1</v>
      </c>
      <c r="Z41" s="13">
        <f>Rev_Build!Z55</f>
        <v>1</v>
      </c>
      <c r="AA41" s="13">
        <f>Rev_Build!AA55</f>
        <v>1</v>
      </c>
      <c r="AB41" s="13">
        <f>Rev_Build!AB55</f>
        <v>1</v>
      </c>
      <c r="AC41" s="13">
        <f>Rev_Build!AC55</f>
        <v>1</v>
      </c>
      <c r="AD41" s="13">
        <f>Rev_Build!AD55</f>
        <v>1</v>
      </c>
      <c r="AE41" s="13">
        <f>Rev_Build!AE55</f>
        <v>1</v>
      </c>
      <c r="AF41" s="13">
        <f>Rev_Build!AF55</f>
        <v>1</v>
      </c>
      <c r="AG41" s="13">
        <f>Rev_Build!AG55</f>
        <v>1</v>
      </c>
      <c r="AH41" s="13">
        <f>Rev_Build!AH55</f>
        <v>1</v>
      </c>
      <c r="AI41" s="13">
        <f>Rev_Build!AI55</f>
        <v>1</v>
      </c>
      <c r="AJ41" s="13">
        <f>Rev_Build!AJ55</f>
        <v>1</v>
      </c>
      <c r="AK41" s="13">
        <f>Rev_Build!AK55</f>
        <v>1</v>
      </c>
    </row>
    <row r="42" spans="1:37" x14ac:dyDescent="0.45">
      <c r="A42" s="12" t="s">
        <v>664</v>
      </c>
      <c r="B42" s="4" t="s">
        <v>665</v>
      </c>
      <c r="C42" s="12" t="s">
        <v>70</v>
      </c>
      <c r="E42" s="48">
        <f>BS!E18</f>
        <v>90</v>
      </c>
      <c r="F42" s="48">
        <f>BS!F18</f>
        <v>89</v>
      </c>
      <c r="G42" s="48">
        <f>BS!G18</f>
        <v>87</v>
      </c>
      <c r="H42" s="48">
        <f>BS!H18</f>
        <v>138</v>
      </c>
      <c r="I42" s="48">
        <f>BS!I18</f>
        <v>136</v>
      </c>
      <c r="J42" s="48">
        <f>BS!J18</f>
        <v>144</v>
      </c>
      <c r="K42" s="48">
        <f>BS!K18</f>
        <v>143</v>
      </c>
      <c r="L42" s="48">
        <f>BS!L18</f>
        <v>141</v>
      </c>
      <c r="M42" s="48">
        <f>BS!M18</f>
        <v>139</v>
      </c>
      <c r="N42" s="48">
        <f>BS!N18</f>
        <v>138</v>
      </c>
      <c r="O42" s="48">
        <f>BS!O18</f>
        <v>136</v>
      </c>
      <c r="P42" s="48">
        <f>BS!P18</f>
        <v>135</v>
      </c>
      <c r="Q42" s="48">
        <f>BS!Q18</f>
        <v>133</v>
      </c>
      <c r="R42" s="48">
        <f>BS!R18</f>
        <v>132</v>
      </c>
      <c r="S42" s="48">
        <f>BS!S18</f>
        <v>130</v>
      </c>
      <c r="T42" s="48">
        <f>BS!T18</f>
        <v>129</v>
      </c>
      <c r="U42" s="48">
        <f>BS!U18</f>
        <v>127</v>
      </c>
      <c r="V42" s="48">
        <f>BS!V18</f>
        <v>126</v>
      </c>
      <c r="W42" s="48">
        <f>BS!W18</f>
        <v>124</v>
      </c>
      <c r="X42" s="49">
        <f t="shared" ref="X42:AK42" si="23">X40-X41</f>
        <v>123</v>
      </c>
      <c r="Y42" s="49">
        <f t="shared" si="23"/>
        <v>122</v>
      </c>
      <c r="Z42" s="49">
        <f t="shared" si="23"/>
        <v>121</v>
      </c>
      <c r="AA42" s="49">
        <f t="shared" si="23"/>
        <v>120</v>
      </c>
      <c r="AB42" s="49">
        <f t="shared" si="23"/>
        <v>119</v>
      </c>
      <c r="AC42" s="49">
        <f t="shared" si="23"/>
        <v>118</v>
      </c>
      <c r="AD42" s="49">
        <f t="shared" si="23"/>
        <v>117</v>
      </c>
      <c r="AE42" s="49">
        <f t="shared" si="23"/>
        <v>116</v>
      </c>
      <c r="AF42" s="49">
        <f t="shared" si="23"/>
        <v>115</v>
      </c>
      <c r="AG42" s="49">
        <f t="shared" si="23"/>
        <v>114</v>
      </c>
      <c r="AH42" s="49">
        <f t="shared" si="23"/>
        <v>113</v>
      </c>
      <c r="AI42" s="49">
        <f t="shared" si="23"/>
        <v>112</v>
      </c>
      <c r="AJ42" s="49">
        <f t="shared" si="23"/>
        <v>111</v>
      </c>
      <c r="AK42" s="49">
        <f t="shared" si="23"/>
        <v>110</v>
      </c>
    </row>
    <row r="43" spans="1:37" x14ac:dyDescent="0.45">
      <c r="A43" s="12" t="s">
        <v>666</v>
      </c>
      <c r="B43" s="4" t="s">
        <v>667</v>
      </c>
      <c r="C43" s="12" t="s">
        <v>70</v>
      </c>
      <c r="E43" s="56">
        <f t="shared" ref="E43:AK43" si="24">E36+E41</f>
        <v>5</v>
      </c>
      <c r="F43" s="56">
        <f t="shared" si="24"/>
        <v>6</v>
      </c>
      <c r="G43" s="56">
        <f t="shared" si="24"/>
        <v>6</v>
      </c>
      <c r="H43" s="56">
        <f t="shared" si="24"/>
        <v>6</v>
      </c>
      <c r="I43" s="56">
        <f t="shared" si="24"/>
        <v>6</v>
      </c>
      <c r="J43" s="56">
        <f t="shared" si="24"/>
        <v>6</v>
      </c>
      <c r="K43" s="56">
        <f t="shared" si="24"/>
        <v>8</v>
      </c>
      <c r="L43" s="56">
        <f t="shared" si="24"/>
        <v>8</v>
      </c>
      <c r="M43" s="56">
        <f t="shared" si="24"/>
        <v>10</v>
      </c>
      <c r="N43" s="56">
        <f t="shared" si="24"/>
        <v>11</v>
      </c>
      <c r="O43" s="56">
        <f t="shared" si="24"/>
        <v>12</v>
      </c>
      <c r="P43" s="56">
        <f t="shared" si="24"/>
        <v>12</v>
      </c>
      <c r="Q43" s="56">
        <f t="shared" si="24"/>
        <v>11</v>
      </c>
      <c r="R43" s="56">
        <f t="shared" si="24"/>
        <v>19</v>
      </c>
      <c r="S43" s="56">
        <f t="shared" si="24"/>
        <v>16</v>
      </c>
      <c r="T43" s="56">
        <f t="shared" si="24"/>
        <v>13</v>
      </c>
      <c r="U43" s="56">
        <f t="shared" si="24"/>
        <v>16</v>
      </c>
      <c r="V43" s="56">
        <f t="shared" si="24"/>
        <v>10</v>
      </c>
      <c r="W43" s="56">
        <f t="shared" si="24"/>
        <v>12</v>
      </c>
      <c r="X43" s="56">
        <f t="shared" si="24"/>
        <v>15.154999999999999</v>
      </c>
      <c r="Y43" s="56">
        <f t="shared" si="24"/>
        <v>15.413901994546874</v>
      </c>
      <c r="Z43" s="56">
        <f t="shared" si="24"/>
        <v>15.64057712397242</v>
      </c>
      <c r="AA43" s="56">
        <f t="shared" si="24"/>
        <v>15.828158241372277</v>
      </c>
      <c r="AB43" s="56">
        <f t="shared" si="24"/>
        <v>16.258898091243836</v>
      </c>
      <c r="AC43" s="56">
        <f t="shared" si="24"/>
        <v>16.712546854210984</v>
      </c>
      <c r="AD43" s="56">
        <f t="shared" si="24"/>
        <v>17.103942616792605</v>
      </c>
      <c r="AE43" s="56">
        <f t="shared" si="24"/>
        <v>17.431415944208876</v>
      </c>
      <c r="AF43" s="56">
        <f t="shared" si="24"/>
        <v>18.02058293534628</v>
      </c>
      <c r="AG43" s="56">
        <f t="shared" si="24"/>
        <v>18.617059637542553</v>
      </c>
      <c r="AH43" s="56">
        <f t="shared" si="24"/>
        <v>19.12371303856537</v>
      </c>
      <c r="AI43" s="56">
        <f t="shared" si="24"/>
        <v>19.541667398047615</v>
      </c>
      <c r="AJ43" s="56">
        <f t="shared" si="24"/>
        <v>20.244772850135526</v>
      </c>
      <c r="AK43" s="56">
        <f t="shared" si="24"/>
        <v>20.943744469854959</v>
      </c>
    </row>
    <row r="44" spans="1:37" x14ac:dyDescent="0.45">
      <c r="A44" s="21"/>
      <c r="B44" s="22" t="s">
        <v>668</v>
      </c>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row>
    <row r="45" spans="1:37" x14ac:dyDescent="0.45">
      <c r="A45" s="12" t="s">
        <v>669</v>
      </c>
      <c r="B45" s="3" t="s">
        <v>670</v>
      </c>
      <c r="C45" s="12" t="s">
        <v>70</v>
      </c>
      <c r="F45" s="50">
        <f t="shared" ref="F45:AK45" si="25">E47</f>
        <v>457</v>
      </c>
      <c r="G45" s="50">
        <f t="shared" si="25"/>
        <v>453</v>
      </c>
      <c r="H45" s="50">
        <f t="shared" si="25"/>
        <v>482</v>
      </c>
      <c r="I45" s="50">
        <f t="shared" si="25"/>
        <v>409</v>
      </c>
      <c r="J45" s="50">
        <f t="shared" si="25"/>
        <v>474</v>
      </c>
      <c r="K45" s="50">
        <f t="shared" si="25"/>
        <v>499</v>
      </c>
      <c r="L45" s="50">
        <f t="shared" si="25"/>
        <v>502</v>
      </c>
      <c r="M45" s="50">
        <f t="shared" si="25"/>
        <v>516</v>
      </c>
      <c r="N45" s="50">
        <f t="shared" si="25"/>
        <v>519</v>
      </c>
      <c r="O45" s="50">
        <f t="shared" si="25"/>
        <v>537</v>
      </c>
      <c r="P45" s="50">
        <f t="shared" si="25"/>
        <v>528</v>
      </c>
      <c r="Q45" s="50">
        <f t="shared" si="25"/>
        <v>511</v>
      </c>
      <c r="R45" s="50">
        <f t="shared" si="25"/>
        <v>514</v>
      </c>
      <c r="S45" s="50">
        <f t="shared" si="25"/>
        <v>484</v>
      </c>
      <c r="T45" s="50">
        <f t="shared" si="25"/>
        <v>508</v>
      </c>
      <c r="U45" s="50">
        <f t="shared" si="25"/>
        <v>500</v>
      </c>
      <c r="V45" s="50">
        <f t="shared" si="25"/>
        <v>638</v>
      </c>
      <c r="W45" s="50">
        <f t="shared" si="25"/>
        <v>672</v>
      </c>
      <c r="X45" s="50">
        <f t="shared" si="25"/>
        <v>698</v>
      </c>
      <c r="Y45" s="50">
        <f t="shared" si="25"/>
        <v>698</v>
      </c>
      <c r="Z45" s="50">
        <f t="shared" si="25"/>
        <v>698</v>
      </c>
      <c r="AA45" s="50">
        <f t="shared" si="25"/>
        <v>698</v>
      </c>
      <c r="AB45" s="50">
        <f t="shared" si="25"/>
        <v>698</v>
      </c>
      <c r="AC45" s="50">
        <f t="shared" si="25"/>
        <v>698</v>
      </c>
      <c r="AD45" s="50">
        <f t="shared" si="25"/>
        <v>698</v>
      </c>
      <c r="AE45" s="50">
        <f t="shared" si="25"/>
        <v>698</v>
      </c>
      <c r="AF45" s="50">
        <f t="shared" si="25"/>
        <v>698</v>
      </c>
      <c r="AG45" s="50">
        <f t="shared" si="25"/>
        <v>698</v>
      </c>
      <c r="AH45" s="50">
        <f t="shared" si="25"/>
        <v>698</v>
      </c>
      <c r="AI45" s="50">
        <f t="shared" si="25"/>
        <v>698</v>
      </c>
      <c r="AJ45" s="50">
        <f t="shared" si="25"/>
        <v>698</v>
      </c>
      <c r="AK45" s="50">
        <f t="shared" si="25"/>
        <v>698</v>
      </c>
    </row>
    <row r="46" spans="1:37" x14ac:dyDescent="0.45">
      <c r="A46" s="12" t="s">
        <v>671</v>
      </c>
      <c r="B46" s="3" t="s">
        <v>252</v>
      </c>
      <c r="C46" s="12" t="s">
        <v>70</v>
      </c>
      <c r="X46" s="13">
        <f>Drivers!X43</f>
        <v>0</v>
      </c>
      <c r="Y46" s="13">
        <f>Drivers!Y43</f>
        <v>0</v>
      </c>
      <c r="Z46" s="13">
        <f>Drivers!Z43</f>
        <v>0</v>
      </c>
      <c r="AA46" s="13">
        <f>Drivers!AA43</f>
        <v>0</v>
      </c>
      <c r="AB46" s="13">
        <f>Drivers!AB43</f>
        <v>0</v>
      </c>
      <c r="AC46" s="13">
        <f>Drivers!AC43</f>
        <v>0</v>
      </c>
      <c r="AD46" s="13">
        <f>Drivers!AD43</f>
        <v>0</v>
      </c>
      <c r="AE46" s="13">
        <f>Drivers!AE43</f>
        <v>0</v>
      </c>
      <c r="AF46" s="13">
        <f>Drivers!AF43</f>
        <v>0</v>
      </c>
      <c r="AG46" s="13">
        <f>Drivers!AG43</f>
        <v>0</v>
      </c>
      <c r="AH46" s="13">
        <f>Drivers!AH43</f>
        <v>0</v>
      </c>
      <c r="AI46" s="13">
        <f>Drivers!AI43</f>
        <v>0</v>
      </c>
      <c r="AJ46" s="13">
        <f>Drivers!AJ43</f>
        <v>0</v>
      </c>
      <c r="AK46" s="13">
        <f>Drivers!AK43</f>
        <v>0</v>
      </c>
    </row>
    <row r="47" spans="1:37" x14ac:dyDescent="0.45">
      <c r="A47" s="12" t="s">
        <v>672</v>
      </c>
      <c r="B47" s="4" t="s">
        <v>673</v>
      </c>
      <c r="C47" s="12" t="s">
        <v>70</v>
      </c>
      <c r="E47" s="48">
        <f>BS!E11</f>
        <v>457</v>
      </c>
      <c r="F47" s="48">
        <f>BS!F11</f>
        <v>453</v>
      </c>
      <c r="G47" s="48">
        <f>BS!G11</f>
        <v>482</v>
      </c>
      <c r="H47" s="48">
        <f>BS!H11</f>
        <v>409</v>
      </c>
      <c r="I47" s="48">
        <f>BS!I11</f>
        <v>474</v>
      </c>
      <c r="J47" s="48">
        <f>BS!J11</f>
        <v>499</v>
      </c>
      <c r="K47" s="48">
        <f>BS!K11</f>
        <v>502</v>
      </c>
      <c r="L47" s="48">
        <f>BS!L11</f>
        <v>516</v>
      </c>
      <c r="M47" s="48">
        <f>BS!M11</f>
        <v>519</v>
      </c>
      <c r="N47" s="48">
        <f>BS!N11</f>
        <v>537</v>
      </c>
      <c r="O47" s="48">
        <f>BS!O11</f>
        <v>528</v>
      </c>
      <c r="P47" s="48">
        <f>BS!P11</f>
        <v>511</v>
      </c>
      <c r="Q47" s="48">
        <f>BS!Q11</f>
        <v>514</v>
      </c>
      <c r="R47" s="48">
        <f>BS!R11</f>
        <v>484</v>
      </c>
      <c r="S47" s="48">
        <f>BS!S11</f>
        <v>508</v>
      </c>
      <c r="T47" s="48">
        <f>BS!T11</f>
        <v>500</v>
      </c>
      <c r="U47" s="48">
        <f>BS!U11</f>
        <v>638</v>
      </c>
      <c r="V47" s="48">
        <f>BS!V11</f>
        <v>672</v>
      </c>
      <c r="W47" s="48">
        <f>BS!W11</f>
        <v>698</v>
      </c>
      <c r="X47" s="49">
        <f t="shared" ref="X47:AK47" si="26">X45+X46</f>
        <v>698</v>
      </c>
      <c r="Y47" s="49">
        <f t="shared" si="26"/>
        <v>698</v>
      </c>
      <c r="Z47" s="49">
        <f t="shared" si="26"/>
        <v>698</v>
      </c>
      <c r="AA47" s="49">
        <f t="shared" si="26"/>
        <v>698</v>
      </c>
      <c r="AB47" s="49">
        <f t="shared" si="26"/>
        <v>698</v>
      </c>
      <c r="AC47" s="49">
        <f t="shared" si="26"/>
        <v>698</v>
      </c>
      <c r="AD47" s="49">
        <f t="shared" si="26"/>
        <v>698</v>
      </c>
      <c r="AE47" s="49">
        <f t="shared" si="26"/>
        <v>698</v>
      </c>
      <c r="AF47" s="49">
        <f t="shared" si="26"/>
        <v>698</v>
      </c>
      <c r="AG47" s="49">
        <f t="shared" si="26"/>
        <v>698</v>
      </c>
      <c r="AH47" s="49">
        <f t="shared" si="26"/>
        <v>698</v>
      </c>
      <c r="AI47" s="49">
        <f t="shared" si="26"/>
        <v>698</v>
      </c>
      <c r="AJ47" s="49">
        <f t="shared" si="26"/>
        <v>698</v>
      </c>
      <c r="AK47" s="49">
        <f t="shared" si="26"/>
        <v>698</v>
      </c>
    </row>
    <row r="48" spans="1:37" x14ac:dyDescent="0.45">
      <c r="A48" s="12" t="s">
        <v>674</v>
      </c>
      <c r="B48" s="3" t="s">
        <v>675</v>
      </c>
      <c r="C48" s="12" t="s">
        <v>70</v>
      </c>
      <c r="F48" s="13">
        <f>BS!E10+BS!E11</f>
        <v>1266</v>
      </c>
      <c r="G48" s="13">
        <f>BS!F10+BS!F11</f>
        <v>1210</v>
      </c>
      <c r="H48" s="13">
        <f>BS!G10+BS!G11</f>
        <v>1179</v>
      </c>
      <c r="I48" s="13">
        <f>BS!H10+BS!H11</f>
        <v>1053</v>
      </c>
      <c r="J48" s="13">
        <f>BS!I10+BS!I11</f>
        <v>1021</v>
      </c>
      <c r="K48" s="13">
        <f>BS!J10+BS!J11</f>
        <v>950</v>
      </c>
      <c r="L48" s="13">
        <f>BS!K10+BS!K11</f>
        <v>990</v>
      </c>
      <c r="M48" s="13">
        <f>BS!L10+BS!L11</f>
        <v>1030</v>
      </c>
      <c r="N48" s="13">
        <f>BS!M10+BS!M11</f>
        <v>1124</v>
      </c>
      <c r="O48" s="13">
        <f>BS!N10+BS!N11</f>
        <v>1115</v>
      </c>
      <c r="P48" s="13">
        <f>BS!O10+BS!O11</f>
        <v>1219</v>
      </c>
      <c r="Q48" s="13">
        <f>BS!P10+BS!P11</f>
        <v>1272</v>
      </c>
      <c r="R48" s="13">
        <f>BS!Q10+BS!Q11</f>
        <v>1417</v>
      </c>
      <c r="S48" s="13">
        <f>BS!R10+BS!R11</f>
        <v>1489</v>
      </c>
      <c r="T48" s="13">
        <f>BS!S10+BS!S11</f>
        <v>1702</v>
      </c>
      <c r="U48" s="13">
        <f>BS!T10+BS!T11</f>
        <v>1857</v>
      </c>
      <c r="V48" s="13">
        <f>BS!U10+BS!U11</f>
        <v>1991</v>
      </c>
      <c r="W48" s="13">
        <f>BS!V10+BS!V11</f>
        <v>1770</v>
      </c>
      <c r="X48" s="13">
        <f>BS!W10+BS!W11</f>
        <v>1713</v>
      </c>
      <c r="Y48" s="13">
        <f>BS!X10+BS!X11</f>
        <v>1828.5596539097946</v>
      </c>
      <c r="Z48" s="13">
        <f>BS!Y10+BS!Y11</f>
        <v>1895.4433802981507</v>
      </c>
      <c r="AA48" s="13">
        <f>BS!Z10+BS!Z11</f>
        <v>2013.5391031707072</v>
      </c>
      <c r="AB48" s="13">
        <f>BS!AA10+BS!AA11</f>
        <v>2171.7916195772759</v>
      </c>
      <c r="AC48" s="13">
        <f>BS!AB10+BS!AB11</f>
        <v>2334.420692040801</v>
      </c>
      <c r="AD48" s="13">
        <f>BS!AC10+BS!AC11</f>
        <v>2466.6822140555805</v>
      </c>
      <c r="AE48" s="13">
        <f>BS!AD10+BS!AD11</f>
        <v>2630.2149859637134</v>
      </c>
      <c r="AF48" s="13">
        <f>BS!AE10+BS!AE11</f>
        <v>2874.2472346700997</v>
      </c>
      <c r="AG48" s="13">
        <f>BS!AF10+BS!AF11</f>
        <v>3103.3146284628201</v>
      </c>
      <c r="AH48" s="13">
        <f>BS!AG10+BS!AG11</f>
        <v>3302.9975369702815</v>
      </c>
      <c r="AI48" s="13">
        <f>BS!AH10+BS!AH11</f>
        <v>3498.1901830115994</v>
      </c>
      <c r="AJ48" s="13">
        <f>BS!AI10+BS!AI11</f>
        <v>3823.8091473749064</v>
      </c>
      <c r="AK48" s="13">
        <f>BS!AJ10+BS!AJ11</f>
        <v>4120.4643794508065</v>
      </c>
    </row>
    <row r="49" spans="1:37" x14ac:dyDescent="0.45">
      <c r="A49" s="12" t="s">
        <v>676</v>
      </c>
      <c r="B49" s="3" t="s">
        <v>677</v>
      </c>
      <c r="C49" s="12" t="s">
        <v>73</v>
      </c>
      <c r="F49" s="38">
        <f>IS!F31*QuartersPerYear/F48</f>
        <v>0</v>
      </c>
      <c r="G49" s="38">
        <f>IS!G31*QuartersPerYear/G48</f>
        <v>3.3057851239669421E-3</v>
      </c>
      <c r="H49" s="38">
        <f>IS!H31*QuartersPerYear/H48</f>
        <v>1.0178117048346057E-2</v>
      </c>
      <c r="I49" s="38">
        <f>IS!I31*QuartersPerYear/I48</f>
        <v>2.2792022792022793E-2</v>
      </c>
      <c r="J49" s="38">
        <f>IS!J31*QuartersPerYear/J48</f>
        <v>3.1341821743388835E-2</v>
      </c>
      <c r="K49" s="38">
        <f>IS!K31*QuartersPerYear/K48</f>
        <v>3.7894736842105266E-2</v>
      </c>
      <c r="L49" s="38">
        <f>IS!L31*QuartersPerYear/L48</f>
        <v>4.0404040404040407E-2</v>
      </c>
      <c r="M49" s="38">
        <f>IS!M31*QuartersPerYear/M48</f>
        <v>3.8834951456310676E-2</v>
      </c>
      <c r="N49" s="38">
        <f>IS!N31*QuartersPerYear/N48</f>
        <v>3.5587188612099648E-2</v>
      </c>
      <c r="O49" s="38">
        <f>IS!O31*QuartersPerYear/O48</f>
        <v>3.5874439461883408E-2</v>
      </c>
      <c r="P49" s="38">
        <f>IS!P31*QuartersPerYear/P48</f>
        <v>2.9532403609515995E-2</v>
      </c>
      <c r="Q49" s="38">
        <f>IS!Q31*QuartersPerYear/Q48</f>
        <v>3.7735849056603772E-2</v>
      </c>
      <c r="R49" s="38">
        <f>IS!R31*QuartersPerYear/R48</f>
        <v>3.3874382498235711E-2</v>
      </c>
      <c r="S49" s="38">
        <f>IS!S31*QuartersPerYear/S48</f>
        <v>2.9550033579583614E-2</v>
      </c>
      <c r="T49" s="38">
        <f>IS!T31*QuartersPerYear/T48</f>
        <v>3.0552291421856639E-2</v>
      </c>
      <c r="U49" s="38">
        <f>IS!U31*QuartersPerYear/U48</f>
        <v>3.2310177705977383E-2</v>
      </c>
      <c r="V49" s="38">
        <f>IS!V31*QuartersPerYear/V48</f>
        <v>2.6117528879959818E-2</v>
      </c>
      <c r="W49" s="38">
        <f>IS!W31*QuartersPerYear/W48</f>
        <v>2.4858757062146894E-2</v>
      </c>
      <c r="X49" s="38">
        <f>Drivers!X38</f>
        <v>2.5000000000000001E-2</v>
      </c>
      <c r="Y49" s="38">
        <f>Drivers!Y38</f>
        <v>2.5000000000000001E-2</v>
      </c>
      <c r="Z49" s="38">
        <f>Drivers!Z38</f>
        <v>2.4E-2</v>
      </c>
      <c r="AA49" s="38">
        <f>Drivers!AA38</f>
        <v>2.4E-2</v>
      </c>
      <c r="AB49" s="38">
        <f>Drivers!AB38</f>
        <v>2.4E-2</v>
      </c>
      <c r="AC49" s="38">
        <f>Drivers!AC38</f>
        <v>2.4E-2</v>
      </c>
      <c r="AD49" s="38">
        <f>Drivers!AD38</f>
        <v>2.3E-2</v>
      </c>
      <c r="AE49" s="38">
        <f>Drivers!AE38</f>
        <v>2.3E-2</v>
      </c>
      <c r="AF49" s="38">
        <f>Drivers!AF38</f>
        <v>2.3E-2</v>
      </c>
      <c r="AG49" s="38">
        <f>Drivers!AG38</f>
        <v>2.3E-2</v>
      </c>
      <c r="AH49" s="38">
        <f>Drivers!AH38</f>
        <v>2.3E-2</v>
      </c>
      <c r="AI49" s="38">
        <f>Drivers!AI38</f>
        <v>2.3E-2</v>
      </c>
      <c r="AJ49" s="38">
        <f>Drivers!AJ38</f>
        <v>2.3E-2</v>
      </c>
      <c r="AK49" s="38">
        <f>Drivers!AK38</f>
        <v>2.3E-2</v>
      </c>
    </row>
    <row r="50" spans="1:37" x14ac:dyDescent="0.45">
      <c r="A50" s="21"/>
      <c r="B50" s="22" t="s">
        <v>678</v>
      </c>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row>
    <row r="51" spans="1:37" x14ac:dyDescent="0.45">
      <c r="A51" s="12" t="s">
        <v>679</v>
      </c>
      <c r="B51" s="3" t="s">
        <v>680</v>
      </c>
      <c r="C51" s="12" t="s">
        <v>70</v>
      </c>
      <c r="F51" s="50">
        <f t="shared" ref="F51:AK51" si="27">E56</f>
        <v>1091</v>
      </c>
      <c r="G51" s="50">
        <f t="shared" si="27"/>
        <v>1143</v>
      </c>
      <c r="H51" s="50">
        <f t="shared" si="27"/>
        <v>1150</v>
      </c>
      <c r="I51" s="50">
        <f t="shared" si="27"/>
        <v>1119</v>
      </c>
      <c r="J51" s="50">
        <f t="shared" si="27"/>
        <v>1098</v>
      </c>
      <c r="K51" s="50">
        <f t="shared" si="27"/>
        <v>1098</v>
      </c>
      <c r="L51" s="50">
        <f t="shared" si="27"/>
        <v>1079</v>
      </c>
      <c r="M51" s="50">
        <f t="shared" si="27"/>
        <v>1149</v>
      </c>
      <c r="N51" s="50">
        <f t="shared" si="27"/>
        <v>1194</v>
      </c>
      <c r="O51" s="50">
        <f t="shared" si="27"/>
        <v>1203</v>
      </c>
      <c r="P51" s="50">
        <f t="shared" si="27"/>
        <v>1283</v>
      </c>
      <c r="Q51" s="50">
        <f t="shared" si="27"/>
        <v>1420</v>
      </c>
      <c r="R51" s="50">
        <f t="shared" si="27"/>
        <v>1545</v>
      </c>
      <c r="S51" s="50">
        <f t="shared" si="27"/>
        <v>1673</v>
      </c>
      <c r="T51" s="50">
        <f t="shared" si="27"/>
        <v>1818</v>
      </c>
      <c r="U51" s="50">
        <f t="shared" si="27"/>
        <v>2014</v>
      </c>
      <c r="V51" s="50">
        <f t="shared" si="27"/>
        <v>2124</v>
      </c>
      <c r="W51" s="50">
        <f t="shared" si="27"/>
        <v>1990</v>
      </c>
      <c r="X51" s="50">
        <f t="shared" si="27"/>
        <v>2045</v>
      </c>
      <c r="Y51" s="50">
        <f t="shared" si="27"/>
        <v>2120.6977112679224</v>
      </c>
      <c r="Z51" s="50">
        <f t="shared" si="27"/>
        <v>2188.2903184072361</v>
      </c>
      <c r="AA51" s="50">
        <f t="shared" si="27"/>
        <v>2271.6715268293678</v>
      </c>
      <c r="AB51" s="50">
        <f t="shared" si="27"/>
        <v>2385.2934163812292</v>
      </c>
      <c r="AC51" s="50">
        <f t="shared" si="27"/>
        <v>2531.7841014921205</v>
      </c>
      <c r="AD51" s="50">
        <f t="shared" si="27"/>
        <v>2665.8014907416728</v>
      </c>
      <c r="AE51" s="50">
        <f t="shared" si="27"/>
        <v>2816.6945010295908</v>
      </c>
      <c r="AF51" s="50">
        <f t="shared" si="27"/>
        <v>3003.7523188549117</v>
      </c>
      <c r="AG51" s="50">
        <f t="shared" si="27"/>
        <v>3224.2379197677897</v>
      </c>
      <c r="AH51" s="50">
        <f t="shared" si="27"/>
        <v>3427.4284900984576</v>
      </c>
      <c r="AI51" s="50">
        <f t="shared" si="27"/>
        <v>3643.1960599303584</v>
      </c>
      <c r="AJ51" s="50">
        <f t="shared" si="27"/>
        <v>3900.723685477145</v>
      </c>
      <c r="AK51" s="50">
        <f t="shared" si="27"/>
        <v>4192.0756283864639</v>
      </c>
    </row>
    <row r="52" spans="1:37" x14ac:dyDescent="0.45">
      <c r="A52" s="12" t="s">
        <v>681</v>
      </c>
      <c r="B52" s="3" t="s">
        <v>77</v>
      </c>
      <c r="C52" s="12" t="s">
        <v>70</v>
      </c>
      <c r="E52" s="13">
        <f>IS!E35</f>
        <v>1</v>
      </c>
      <c r="F52" s="13">
        <f>IS!F35</f>
        <v>-23</v>
      </c>
      <c r="G52" s="13">
        <f>IS!G35</f>
        <v>-54</v>
      </c>
      <c r="H52" s="13">
        <f>IS!H35</f>
        <v>-98</v>
      </c>
      <c r="I52" s="13">
        <f>IS!I35</f>
        <v>-100</v>
      </c>
      <c r="J52" s="13">
        <f>IS!J35</f>
        <v>-81</v>
      </c>
      <c r="K52" s="13">
        <f>IS!K35</f>
        <v>-98</v>
      </c>
      <c r="L52" s="13">
        <f>IS!L35</f>
        <v>-31</v>
      </c>
      <c r="M52" s="13">
        <f>IS!M35</f>
        <v>-36</v>
      </c>
      <c r="N52" s="13">
        <f>IS!N35</f>
        <v>-83</v>
      </c>
      <c r="O52" s="13">
        <f>IS!O35</f>
        <v>14</v>
      </c>
      <c r="P52" s="13">
        <f>IS!P35</f>
        <v>56</v>
      </c>
      <c r="Q52" s="13">
        <f>IS!Q35</f>
        <v>32</v>
      </c>
      <c r="R52" s="13">
        <f>IS!R35</f>
        <v>56</v>
      </c>
      <c r="S52" s="13">
        <f>IS!S35</f>
        <v>80</v>
      </c>
      <c r="T52" s="13">
        <f>IS!T35</f>
        <v>105</v>
      </c>
      <c r="U52" s="13">
        <f>IS!U35</f>
        <v>101</v>
      </c>
      <c r="V52" s="13">
        <f>IS!V35</f>
        <v>126</v>
      </c>
      <c r="W52" s="13">
        <f>IS!W35</f>
        <v>154</v>
      </c>
      <c r="X52" s="13">
        <f>IS!X35</f>
        <v>163.12008250873131</v>
      </c>
      <c r="Y52" s="13">
        <f>IS!Y35</f>
        <v>156.07607357901969</v>
      </c>
      <c r="Z52" s="13">
        <f>IS!Z35</f>
        <v>176.02518159948025</v>
      </c>
      <c r="AA52" s="13">
        <f>IS!AA35</f>
        <v>199.56963544416919</v>
      </c>
      <c r="AB52" s="13">
        <f>IS!AB35</f>
        <v>228.24390067287962</v>
      </c>
      <c r="AC52" s="13">
        <f>IS!AC35</f>
        <v>217.22026700675531</v>
      </c>
      <c r="AD52" s="13">
        <f>IS!AD35</f>
        <v>236.1485062422166</v>
      </c>
      <c r="AE52" s="13">
        <f>IS!AE35</f>
        <v>265.20225792722994</v>
      </c>
      <c r="AF52" s="13">
        <f>IS!AF35</f>
        <v>294.39260657875053</v>
      </c>
      <c r="AG52" s="13">
        <f>IS!AG35</f>
        <v>279.02465536468367</v>
      </c>
      <c r="AH52" s="13">
        <f>IS!AH35</f>
        <v>294.79116054598541</v>
      </c>
      <c r="AI52" s="13">
        <f>IS!AI35</f>
        <v>329.11638678993222</v>
      </c>
      <c r="AJ52" s="13">
        <f>IS!AJ35</f>
        <v>358.70544031062946</v>
      </c>
      <c r="AK52" s="13">
        <f>IS!AK35</f>
        <v>339.06669824677556</v>
      </c>
    </row>
    <row r="53" spans="1:37" x14ac:dyDescent="0.45">
      <c r="A53" s="12" t="s">
        <v>682</v>
      </c>
      <c r="B53" s="3" t="s">
        <v>504</v>
      </c>
      <c r="C53" s="12" t="s">
        <v>70</v>
      </c>
      <c r="E53" s="13">
        <f>IS!E51</f>
        <v>45</v>
      </c>
      <c r="F53" s="13">
        <f>IS!F51</f>
        <v>53</v>
      </c>
      <c r="G53" s="13">
        <f>IS!G51</f>
        <v>57</v>
      </c>
      <c r="H53" s="13">
        <f>IS!H51</f>
        <v>57</v>
      </c>
      <c r="I53" s="13">
        <f>IS!I51</f>
        <v>61</v>
      </c>
      <c r="J53" s="13">
        <f>IS!J51</f>
        <v>63</v>
      </c>
      <c r="K53" s="13">
        <f>IS!K51</f>
        <v>72</v>
      </c>
      <c r="L53" s="13">
        <f>IS!L51</f>
        <v>71</v>
      </c>
      <c r="M53" s="13">
        <f>IS!M51</f>
        <v>71</v>
      </c>
      <c r="N53" s="13">
        <f>IS!N51</f>
        <v>66</v>
      </c>
      <c r="O53" s="13">
        <f>IS!O51</f>
        <v>67</v>
      </c>
      <c r="P53" s="13">
        <f>IS!P51</f>
        <v>60</v>
      </c>
      <c r="Q53" s="13">
        <f>IS!Q51</f>
        <v>60</v>
      </c>
      <c r="R53" s="13">
        <f>IS!R51</f>
        <v>60</v>
      </c>
      <c r="S53" s="13">
        <f>IS!S51</f>
        <v>60</v>
      </c>
      <c r="T53" s="13">
        <f>IS!T51</f>
        <v>66</v>
      </c>
      <c r="U53" s="13">
        <f>IS!U51</f>
        <v>56</v>
      </c>
      <c r="V53" s="13">
        <f>IS!V51</f>
        <v>54</v>
      </c>
      <c r="W53" s="13">
        <f>IS!W51</f>
        <v>55</v>
      </c>
      <c r="X53" s="13">
        <f>IS!X51</f>
        <v>62.577628759191136</v>
      </c>
      <c r="Y53" s="13">
        <f>IS!Y51</f>
        <v>61.516533560294107</v>
      </c>
      <c r="Z53" s="13">
        <f>IS!Z51</f>
        <v>57.356026822651451</v>
      </c>
      <c r="AA53" s="13">
        <f>IS!AA51</f>
        <v>64.052254107692292</v>
      </c>
      <c r="AB53" s="13">
        <f>IS!AB51</f>
        <v>68.246784438011559</v>
      </c>
      <c r="AC53" s="13">
        <f>IS!AC51</f>
        <v>66.797122242796874</v>
      </c>
      <c r="AD53" s="13">
        <f>IS!AD51</f>
        <v>64.74450404570149</v>
      </c>
      <c r="AE53" s="13">
        <f>IS!AE51</f>
        <v>71.85555989809113</v>
      </c>
      <c r="AF53" s="13">
        <f>IS!AF51</f>
        <v>76.092994334127425</v>
      </c>
      <c r="AG53" s="13">
        <f>IS!AG51</f>
        <v>74.165914965984356</v>
      </c>
      <c r="AH53" s="13">
        <f>IS!AH51</f>
        <v>70.976409285915594</v>
      </c>
      <c r="AI53" s="13">
        <f>IS!AI51</f>
        <v>78.411238756854402</v>
      </c>
      <c r="AJ53" s="13">
        <f>IS!AJ51</f>
        <v>82.646502598689764</v>
      </c>
      <c r="AK53" s="13">
        <f>IS!AK51</f>
        <v>80.293274659549766</v>
      </c>
    </row>
    <row r="54" spans="1:37" x14ac:dyDescent="0.45">
      <c r="A54" s="12" t="s">
        <v>683</v>
      </c>
      <c r="B54" s="3" t="s">
        <v>249</v>
      </c>
      <c r="C54" s="12" t="s">
        <v>70</v>
      </c>
      <c r="E54" s="13">
        <f>-Hist_Q!E44</f>
        <v>0</v>
      </c>
      <c r="F54" s="13">
        <f>-Hist_Q!F44</f>
        <v>0</v>
      </c>
      <c r="G54" s="13">
        <f>-Hist_Q!G44</f>
        <v>0</v>
      </c>
      <c r="H54" s="13">
        <f>-Hist_Q!H44</f>
        <v>0</v>
      </c>
      <c r="I54" s="13">
        <f>-Hist_Q!I44</f>
        <v>0</v>
      </c>
      <c r="J54" s="13">
        <f>-Hist_Q!J44</f>
        <v>0</v>
      </c>
      <c r="K54" s="13">
        <f>-Hist_Q!K44</f>
        <v>0</v>
      </c>
      <c r="L54" s="13">
        <f>-Hist_Q!L44</f>
        <v>0</v>
      </c>
      <c r="M54" s="13">
        <f>-Hist_Q!M44</f>
        <v>0</v>
      </c>
      <c r="N54" s="13">
        <f>-Hist_Q!N44</f>
        <v>-4</v>
      </c>
      <c r="O54" s="13">
        <f>-Hist_Q!O44</f>
        <v>-32</v>
      </c>
      <c r="P54" s="13">
        <f>-Hist_Q!P44</f>
        <v>-20</v>
      </c>
      <c r="Q54" s="13">
        <f>-Hist_Q!Q44</f>
        <v>0</v>
      </c>
      <c r="R54" s="13">
        <f>-Hist_Q!R44</f>
        <v>-17</v>
      </c>
      <c r="S54" s="13">
        <f>-Hist_Q!S44</f>
        <v>-14</v>
      </c>
      <c r="T54" s="13">
        <f>-Hist_Q!T44</f>
        <v>-23</v>
      </c>
      <c r="U54" s="13">
        <f>-Hist_Q!U44</f>
        <v>-53</v>
      </c>
      <c r="V54" s="13">
        <f>-Hist_Q!V44</f>
        <v>-323</v>
      </c>
      <c r="W54" s="13">
        <f>-Hist_Q!W44</f>
        <v>-163</v>
      </c>
      <c r="X54" s="13">
        <f>-Drivers!X42</f>
        <v>-150</v>
      </c>
      <c r="Y54" s="13">
        <f>-Drivers!Y42</f>
        <v>-150</v>
      </c>
      <c r="Z54" s="13">
        <f>-Drivers!Z42</f>
        <v>-150</v>
      </c>
      <c r="AA54" s="13">
        <f>-Drivers!AA42</f>
        <v>-150</v>
      </c>
      <c r="AB54" s="13">
        <f>-Drivers!AB42</f>
        <v>-150</v>
      </c>
      <c r="AC54" s="13">
        <f>-Drivers!AC42</f>
        <v>-150</v>
      </c>
      <c r="AD54" s="13">
        <f>-Drivers!AD42</f>
        <v>-150</v>
      </c>
      <c r="AE54" s="13">
        <f>-Drivers!AE42</f>
        <v>-150</v>
      </c>
      <c r="AF54" s="13">
        <f>-Drivers!AF42</f>
        <v>-150</v>
      </c>
      <c r="AG54" s="13">
        <f>-Drivers!AG42</f>
        <v>-150</v>
      </c>
      <c r="AH54" s="13">
        <f>-Drivers!AH42</f>
        <v>-150</v>
      </c>
      <c r="AI54" s="13">
        <f>-Drivers!AI42</f>
        <v>-150</v>
      </c>
      <c r="AJ54" s="13">
        <f>-Drivers!AJ42</f>
        <v>-150</v>
      </c>
      <c r="AK54" s="13">
        <f>-Drivers!AK42</f>
        <v>-150</v>
      </c>
    </row>
    <row r="55" spans="1:37" x14ac:dyDescent="0.45">
      <c r="A55" s="12" t="s">
        <v>684</v>
      </c>
      <c r="B55" s="3" t="s">
        <v>685</v>
      </c>
      <c r="C55" s="12" t="s">
        <v>70</v>
      </c>
      <c r="F55" s="50">
        <f t="shared" ref="F55:W55" si="28">F56-F51-F52-F53-F54</f>
        <v>22</v>
      </c>
      <c r="G55" s="50">
        <f t="shared" si="28"/>
        <v>4</v>
      </c>
      <c r="H55" s="50">
        <f t="shared" si="28"/>
        <v>10</v>
      </c>
      <c r="I55" s="50">
        <f t="shared" si="28"/>
        <v>18</v>
      </c>
      <c r="J55" s="50">
        <f t="shared" si="28"/>
        <v>18</v>
      </c>
      <c r="K55" s="50">
        <f t="shared" si="28"/>
        <v>7</v>
      </c>
      <c r="L55" s="50">
        <f t="shared" si="28"/>
        <v>30</v>
      </c>
      <c r="M55" s="50">
        <f t="shared" si="28"/>
        <v>10</v>
      </c>
      <c r="N55" s="50">
        <f t="shared" si="28"/>
        <v>30</v>
      </c>
      <c r="O55" s="50">
        <f t="shared" si="28"/>
        <v>31</v>
      </c>
      <c r="P55" s="50">
        <f t="shared" si="28"/>
        <v>41</v>
      </c>
      <c r="Q55" s="50">
        <f t="shared" si="28"/>
        <v>33</v>
      </c>
      <c r="R55" s="50">
        <f t="shared" si="28"/>
        <v>29</v>
      </c>
      <c r="S55" s="50">
        <f t="shared" si="28"/>
        <v>19</v>
      </c>
      <c r="T55" s="50">
        <f t="shared" si="28"/>
        <v>48</v>
      </c>
      <c r="U55" s="50">
        <f t="shared" si="28"/>
        <v>6</v>
      </c>
      <c r="V55" s="50">
        <f t="shared" si="28"/>
        <v>9</v>
      </c>
      <c r="W55" s="50">
        <f t="shared" si="28"/>
        <v>9</v>
      </c>
    </row>
    <row r="56" spans="1:37" x14ac:dyDescent="0.45">
      <c r="A56" s="12" t="s">
        <v>686</v>
      </c>
      <c r="B56" s="4" t="s">
        <v>687</v>
      </c>
      <c r="C56" s="12" t="s">
        <v>70</v>
      </c>
      <c r="E56" s="62">
        <f>BS!E29</f>
        <v>1091</v>
      </c>
      <c r="F56" s="62">
        <f>BS!F29</f>
        <v>1143</v>
      </c>
      <c r="G56" s="62">
        <f>BS!G29</f>
        <v>1150</v>
      </c>
      <c r="H56" s="62">
        <f>BS!H29</f>
        <v>1119</v>
      </c>
      <c r="I56" s="62">
        <f>BS!I29</f>
        <v>1098</v>
      </c>
      <c r="J56" s="62">
        <f>BS!J29</f>
        <v>1098</v>
      </c>
      <c r="K56" s="62">
        <f>BS!K29</f>
        <v>1079</v>
      </c>
      <c r="L56" s="62">
        <f>BS!L29</f>
        <v>1149</v>
      </c>
      <c r="M56" s="62">
        <f>BS!M29</f>
        <v>1194</v>
      </c>
      <c r="N56" s="62">
        <f>BS!N29</f>
        <v>1203</v>
      </c>
      <c r="O56" s="62">
        <f>BS!O29</f>
        <v>1283</v>
      </c>
      <c r="P56" s="62">
        <f>BS!P29</f>
        <v>1420</v>
      </c>
      <c r="Q56" s="62">
        <f>BS!Q29</f>
        <v>1545</v>
      </c>
      <c r="R56" s="62">
        <f>BS!R29</f>
        <v>1673</v>
      </c>
      <c r="S56" s="62">
        <f>BS!S29</f>
        <v>1818</v>
      </c>
      <c r="T56" s="62">
        <f>BS!T29</f>
        <v>2014</v>
      </c>
      <c r="U56" s="62">
        <f>BS!U29</f>
        <v>2124</v>
      </c>
      <c r="V56" s="62">
        <f>BS!V29</f>
        <v>1990</v>
      </c>
      <c r="W56" s="62">
        <f>BS!W29</f>
        <v>2045</v>
      </c>
      <c r="X56" s="56">
        <f t="shared" ref="X56:AK56" si="29">X51+X52+X53+X54</f>
        <v>2120.6977112679224</v>
      </c>
      <c r="Y56" s="56">
        <f t="shared" si="29"/>
        <v>2188.2903184072361</v>
      </c>
      <c r="Z56" s="56">
        <f t="shared" si="29"/>
        <v>2271.6715268293678</v>
      </c>
      <c r="AA56" s="56">
        <f t="shared" si="29"/>
        <v>2385.2934163812292</v>
      </c>
      <c r="AB56" s="56">
        <f t="shared" si="29"/>
        <v>2531.7841014921205</v>
      </c>
      <c r="AC56" s="56">
        <f t="shared" si="29"/>
        <v>2665.8014907416728</v>
      </c>
      <c r="AD56" s="56">
        <f t="shared" si="29"/>
        <v>2816.6945010295908</v>
      </c>
      <c r="AE56" s="56">
        <f t="shared" si="29"/>
        <v>3003.7523188549117</v>
      </c>
      <c r="AF56" s="56">
        <f t="shared" si="29"/>
        <v>3224.2379197677897</v>
      </c>
      <c r="AG56" s="56">
        <f t="shared" si="29"/>
        <v>3427.4284900984576</v>
      </c>
      <c r="AH56" s="56">
        <f t="shared" si="29"/>
        <v>3643.1960599303584</v>
      </c>
      <c r="AI56" s="56">
        <f t="shared" si="29"/>
        <v>3900.723685477145</v>
      </c>
      <c r="AJ56" s="56">
        <f t="shared" si="29"/>
        <v>4192.0756283864639</v>
      </c>
      <c r="AK56" s="56">
        <f t="shared" si="29"/>
        <v>4461.4356012927892</v>
      </c>
    </row>
  </sheetData>
  <pageMargins left="0.75" right="0.75" top="1" bottom="1" header="0.5" footer="0.5"/>
  <pageSetup fitToHeight="0"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N94"/>
  <sheetViews>
    <sheetView showGridLines="0" zoomScale="90" workbookViewId="0">
      <pane xSplit="4" ySplit="6" topLeftCell="E7" activePane="bottomRight" state="frozen"/>
      <selection pane="topRight"/>
      <selection pane="bottomLeft"/>
      <selection pane="bottomRight"/>
    </sheetView>
  </sheetViews>
  <sheetFormatPr defaultRowHeight="14.25" x14ac:dyDescent="0.45"/>
  <cols>
    <col min="1" max="1" width="13" customWidth="1"/>
    <col min="2" max="2" width="50" customWidth="1"/>
    <col min="3" max="3" width="11" customWidth="1"/>
    <col min="4" max="4" width="3" customWidth="1"/>
    <col min="5" max="14" width="11" customWidth="1"/>
  </cols>
  <sheetData>
    <row r="1" spans="1:14" ht="18" x14ac:dyDescent="0.55000000000000004">
      <c r="A1" s="1" t="s">
        <v>688</v>
      </c>
    </row>
    <row r="2" spans="1:14" x14ac:dyDescent="0.45">
      <c r="A2" s="2" t="s">
        <v>689</v>
      </c>
    </row>
    <row r="4" spans="1:14" x14ac:dyDescent="0.45">
      <c r="A4" s="12" t="s">
        <v>279</v>
      </c>
      <c r="B4" s="4" t="s">
        <v>97</v>
      </c>
      <c r="C4" s="12"/>
      <c r="E4" s="40" t="str">
        <f t="shared" ref="E4:N4" si="0">"FY"&amp;E6&amp;IF(E5="A","A","E")</f>
        <v>FY2020A</v>
      </c>
      <c r="F4" s="40" t="str">
        <f t="shared" si="0"/>
        <v>FY2021A</v>
      </c>
      <c r="G4" s="40" t="str">
        <f t="shared" si="0"/>
        <v>FY2022A</v>
      </c>
      <c r="H4" s="40" t="str">
        <f t="shared" si="0"/>
        <v>FY2023A</v>
      </c>
      <c r="I4" s="40" t="str">
        <f t="shared" si="0"/>
        <v>FY2024A</v>
      </c>
      <c r="J4" s="40" t="str">
        <f t="shared" si="0"/>
        <v>FY2025A</v>
      </c>
      <c r="K4" s="41" t="str">
        <f t="shared" si="0"/>
        <v>FY2026E</v>
      </c>
      <c r="L4" s="41" t="str">
        <f t="shared" si="0"/>
        <v>FY2027E</v>
      </c>
      <c r="M4" s="41" t="str">
        <f t="shared" si="0"/>
        <v>FY2028E</v>
      </c>
      <c r="N4" s="41" t="str">
        <f t="shared" si="0"/>
        <v>FY2029E</v>
      </c>
    </row>
    <row r="5" spans="1:14" x14ac:dyDescent="0.45">
      <c r="A5" s="12" t="s">
        <v>280</v>
      </c>
      <c r="B5" s="3" t="s">
        <v>281</v>
      </c>
      <c r="C5" s="12"/>
      <c r="E5" s="42" t="str">
        <f t="shared" ref="E5:N5" si="1">IF(E6&lt;=YEAR(LastActualEnd)-(MONTH(LastActualEnd)&lt;12),"A","F")</f>
        <v>A</v>
      </c>
      <c r="F5" s="42" t="str">
        <f t="shared" si="1"/>
        <v>A</v>
      </c>
      <c r="G5" s="42" t="str">
        <f t="shared" si="1"/>
        <v>A</v>
      </c>
      <c r="H5" s="42" t="str">
        <f t="shared" si="1"/>
        <v>A</v>
      </c>
      <c r="I5" s="42" t="str">
        <f t="shared" si="1"/>
        <v>A</v>
      </c>
      <c r="J5" s="42" t="str">
        <f t="shared" si="1"/>
        <v>A</v>
      </c>
      <c r="K5" s="43" t="str">
        <f t="shared" si="1"/>
        <v>F</v>
      </c>
      <c r="L5" s="43" t="str">
        <f t="shared" si="1"/>
        <v>F</v>
      </c>
      <c r="M5" s="43" t="str">
        <f t="shared" si="1"/>
        <v>F</v>
      </c>
      <c r="N5" s="43" t="str">
        <f t="shared" si="1"/>
        <v>F</v>
      </c>
    </row>
    <row r="6" spans="1:14" x14ac:dyDescent="0.45">
      <c r="A6" s="12" t="s">
        <v>282</v>
      </c>
      <c r="B6" s="3" t="s">
        <v>690</v>
      </c>
      <c r="C6" s="12" t="s">
        <v>114</v>
      </c>
      <c r="E6" s="28">
        <f>YEAR(FirstPeriodEnd)-1</f>
        <v>2020</v>
      </c>
      <c r="F6" s="28">
        <f t="shared" ref="F6:N6" si="2">E6+1</f>
        <v>2021</v>
      </c>
      <c r="G6" s="28">
        <f t="shared" si="2"/>
        <v>2022</v>
      </c>
      <c r="H6" s="28">
        <f t="shared" si="2"/>
        <v>2023</v>
      </c>
      <c r="I6" s="28">
        <f t="shared" si="2"/>
        <v>2024</v>
      </c>
      <c r="J6" s="28">
        <f t="shared" si="2"/>
        <v>2025</v>
      </c>
      <c r="K6" s="28">
        <f t="shared" si="2"/>
        <v>2026</v>
      </c>
      <c r="L6" s="28">
        <f t="shared" si="2"/>
        <v>2027</v>
      </c>
      <c r="M6" s="28">
        <f t="shared" si="2"/>
        <v>2028</v>
      </c>
      <c r="N6" s="28">
        <f t="shared" si="2"/>
        <v>2029</v>
      </c>
    </row>
    <row r="7" spans="1:14" x14ac:dyDescent="0.45">
      <c r="A7" s="21"/>
      <c r="B7" s="22" t="s">
        <v>691</v>
      </c>
      <c r="C7" s="21"/>
      <c r="D7" s="21"/>
      <c r="E7" s="21"/>
      <c r="F7" s="21"/>
      <c r="G7" s="21"/>
      <c r="H7" s="21"/>
      <c r="I7" s="21"/>
      <c r="J7" s="21"/>
      <c r="K7" s="21"/>
      <c r="L7" s="21"/>
      <c r="M7" s="21"/>
      <c r="N7" s="21"/>
    </row>
    <row r="8" spans="1:14" x14ac:dyDescent="0.45">
      <c r="A8" s="12" t="s">
        <v>337</v>
      </c>
      <c r="B8" s="4" t="s">
        <v>64</v>
      </c>
      <c r="C8" s="12" t="s">
        <v>65</v>
      </c>
      <c r="F8" s="48">
        <f>SUMIFS(Rev_Build!$E$10:$AK$10,Rev_Build!$E$6:$AK$6,F$6,Rev_Build!$E$7:$AK$7,QuartersPerYear)</f>
        <v>57000</v>
      </c>
      <c r="G8" s="48">
        <f>SUMIFS(Rev_Build!$E$10:$AK$10,Rev_Build!$E$6:$AK$6,G$6,Rev_Build!$E$7:$AK$7,QuartersPerYear)</f>
        <v>79000</v>
      </c>
      <c r="H8" s="48">
        <f>SUMIFS(Rev_Build!$E$10:$AK$10,Rev_Build!$E$6:$AK$6,H$6,Rev_Build!$E$7:$AK$7,QuartersPerYear)</f>
        <v>106000</v>
      </c>
      <c r="I8" s="48">
        <f>SUMIFS(Rev_Build!$E$10:$AK$10,Rev_Build!$E$6:$AK$6,I$6,Rev_Build!$E$7:$AK$7,QuartersPerYear)</f>
        <v>134000</v>
      </c>
      <c r="J8" s="48">
        <f>SUMIFS(Rev_Build!$E$10:$AK$10,Rev_Build!$E$6:$AK$6,J$6,Rev_Build!$E$7:$AK$7,QuartersPerYear)</f>
        <v>164000</v>
      </c>
      <c r="K8" s="48">
        <f>SUMIFS(Rev_Build!$E$10:$AK$10,Rev_Build!$E$6:$AK$6,K$6,Rev_Build!$E$7:$AK$7,QuartersPerYear)</f>
        <v>196694.11764705883</v>
      </c>
      <c r="L8" s="48">
        <f>SUMIFS(Rev_Build!$E$10:$AK$10,Rev_Build!$E$6:$AK$6,L$6,Rev_Build!$E$7:$AK$7,QuartersPerYear)</f>
        <v>230694.11764705883</v>
      </c>
      <c r="M8" s="48">
        <f>SUMIFS(Rev_Build!$E$10:$AK$10,Rev_Build!$E$6:$AK$6,M$6,Rev_Build!$E$7:$AK$7,QuartersPerYear)</f>
        <v>264694.1176470588</v>
      </c>
      <c r="N8" s="48">
        <f>SUMIFS(Rev_Build!$E$10:$AK$10,Rev_Build!$E$6:$AK$6,N$6,Rev_Build!$E$7:$AK$7,QuartersPerYear)</f>
        <v>298694.1176470588</v>
      </c>
    </row>
    <row r="9" spans="1:14" x14ac:dyDescent="0.45">
      <c r="A9" s="12" t="s">
        <v>339</v>
      </c>
      <c r="B9" s="3" t="s">
        <v>66</v>
      </c>
      <c r="C9" s="12" t="s">
        <v>65</v>
      </c>
      <c r="G9" s="13">
        <f>SUMIFS(Rev_Build!$E$11:$AK$11,Rev_Build!$E$6:$AK$6,G$6)</f>
        <v>22000</v>
      </c>
      <c r="H9" s="13">
        <f>SUMIFS(Rev_Build!$E$11:$AK$11,Rev_Build!$E$6:$AK$6,H$6)</f>
        <v>27000</v>
      </c>
      <c r="I9" s="13">
        <f>SUMIFS(Rev_Build!$E$11:$AK$11,Rev_Build!$E$6:$AK$6,I$6)</f>
        <v>28000</v>
      </c>
      <c r="J9" s="13">
        <f>SUMIFS(Rev_Build!$E$11:$AK$11,Rev_Build!$E$6:$AK$6,J$6)</f>
        <v>30000</v>
      </c>
      <c r="K9" s="13">
        <f>SUMIFS(Rev_Build!$E$11:$AK$11,Rev_Build!$E$6:$AK$6,K$6)</f>
        <v>32694.117647058825</v>
      </c>
      <c r="L9" s="13">
        <f>SUMIFS(Rev_Build!$E$11:$AK$11,Rev_Build!$E$6:$AK$6,L$6)</f>
        <v>34000</v>
      </c>
      <c r="M9" s="13">
        <f>SUMIFS(Rev_Build!$E$11:$AK$11,Rev_Build!$E$6:$AK$6,M$6)</f>
        <v>34000</v>
      </c>
      <c r="N9" s="13">
        <f>SUMIFS(Rev_Build!$E$11:$AK$11,Rev_Build!$E$6:$AK$6,N$6)</f>
        <v>34000</v>
      </c>
    </row>
    <row r="10" spans="1:14" x14ac:dyDescent="0.45">
      <c r="A10" s="12" t="s">
        <v>340</v>
      </c>
      <c r="B10" s="3" t="s">
        <v>692</v>
      </c>
      <c r="C10" s="12" t="s">
        <v>65</v>
      </c>
      <c r="G10" s="13">
        <f>AVERAGEIFS(Rev_Build!$E$12:$AK$12,Rev_Build!$E$6:$AK$6,G$6)</f>
        <v>68000</v>
      </c>
      <c r="H10" s="13">
        <f>AVERAGEIFS(Rev_Build!$E$12:$AK$12,Rev_Build!$E$6:$AK$6,H$6)</f>
        <v>92375</v>
      </c>
      <c r="I10" s="13">
        <f>AVERAGEIFS(Rev_Build!$E$12:$AK$12,Rev_Build!$E$6:$AK$6,I$6)</f>
        <v>119750</v>
      </c>
      <c r="J10" s="13">
        <f>AVERAGEIFS(Rev_Build!$E$12:$AK$12,Rev_Build!$E$6:$AK$6,J$6)</f>
        <v>148250</v>
      </c>
      <c r="K10" s="13">
        <f>AVERAGEIFS(Rev_Build!$E$12:$AK$12,Rev_Build!$E$6:$AK$6,K$6)</f>
        <v>179875</v>
      </c>
      <c r="L10" s="13">
        <f>AVERAGEIFS(Rev_Build!$E$12:$AK$12,Rev_Build!$E$6:$AK$6,L$6)</f>
        <v>213244.11764705883</v>
      </c>
      <c r="M10" s="13">
        <f>AVERAGEIFS(Rev_Build!$E$12:$AK$12,Rev_Build!$E$6:$AK$6,M$6)</f>
        <v>247244.11764705883</v>
      </c>
      <c r="N10" s="13">
        <f>AVERAGEIFS(Rev_Build!$E$12:$AK$12,Rev_Build!$E$6:$AK$6,N$6)</f>
        <v>281244.1176470588</v>
      </c>
    </row>
    <row r="11" spans="1:14" x14ac:dyDescent="0.45">
      <c r="A11" s="12" t="s">
        <v>361</v>
      </c>
      <c r="B11" s="3" t="s">
        <v>67</v>
      </c>
      <c r="C11" s="12" t="s">
        <v>68</v>
      </c>
      <c r="G11" s="14">
        <f>SUMIFS(Rev_Build!$E$23:$AK$23,Rev_Build!$E$6:$AK$6,G$6)</f>
        <v>91.8</v>
      </c>
      <c r="H11" s="14">
        <f>SUMIFS(Rev_Build!$E$23:$AK$23,Rev_Build!$E$6:$AK$6,H$6)</f>
        <v>126.2</v>
      </c>
      <c r="I11" s="14">
        <f>SUMIFS(Rev_Build!$E$23:$AK$23,Rev_Build!$E$6:$AK$6,I$6)</f>
        <v>159.10000000000002</v>
      </c>
      <c r="J11" s="14">
        <f>SUMIFS(Rev_Build!$E$23:$AK$23,Rev_Build!$E$6:$AK$6,J$6)</f>
        <v>195</v>
      </c>
      <c r="K11" s="14">
        <f>SUMIFS(Rev_Build!$E$23:$AK$23,Rev_Build!$E$6:$AK$6,K$6)</f>
        <v>235.56315316176469</v>
      </c>
      <c r="L11" s="14">
        <f>SUMIFS(Rev_Build!$E$23:$AK$23,Rev_Build!$E$6:$AK$6,L$6)</f>
        <v>277.85130082734372</v>
      </c>
      <c r="M11" s="14">
        <f>SUMIFS(Rev_Build!$E$23:$AK$23,Rev_Build!$E$6:$AK$6,M$6)</f>
        <v>322.13149145241181</v>
      </c>
      <c r="N11" s="14">
        <f>SUMIFS(Rev_Build!$E$23:$AK$23,Rev_Build!$E$6:$AK$6,N$6)</f>
        <v>366.41168207747995</v>
      </c>
    </row>
    <row r="12" spans="1:14" x14ac:dyDescent="0.45">
      <c r="A12" s="12" t="s">
        <v>345</v>
      </c>
      <c r="B12" s="3" t="s">
        <v>693</v>
      </c>
      <c r="C12" s="12" t="s">
        <v>347</v>
      </c>
      <c r="G12" s="50">
        <f t="shared" ref="G12:N12" si="3">G23*Mn/G10/(MonthsPerQuarter*QuartersPerYear)</f>
        <v>395.83333333333331</v>
      </c>
      <c r="H12" s="50">
        <f t="shared" si="3"/>
        <v>451.9621109607578</v>
      </c>
      <c r="I12" s="50">
        <f t="shared" si="3"/>
        <v>491.30132219902572</v>
      </c>
      <c r="J12" s="50">
        <f t="shared" si="3"/>
        <v>526.13827993254642</v>
      </c>
      <c r="K12" s="50">
        <f t="shared" si="3"/>
        <v>550.62331275804274</v>
      </c>
      <c r="L12" s="50">
        <f t="shared" si="3"/>
        <v>572.59164080566791</v>
      </c>
      <c r="M12" s="50">
        <f t="shared" si="3"/>
        <v>592.57184453194498</v>
      </c>
      <c r="N12" s="50">
        <f t="shared" si="3"/>
        <v>610.30174867417986</v>
      </c>
    </row>
    <row r="13" spans="1:14" x14ac:dyDescent="0.45">
      <c r="A13" s="12" t="s">
        <v>353</v>
      </c>
      <c r="B13" s="3" t="s">
        <v>354</v>
      </c>
      <c r="C13" s="12" t="s">
        <v>694</v>
      </c>
      <c r="G13" s="52">
        <f t="shared" ref="G13:N13" si="4">G11*Mn/G10</f>
        <v>1350</v>
      </c>
      <c r="H13" s="52">
        <f t="shared" si="4"/>
        <v>1366.1705006765899</v>
      </c>
      <c r="I13" s="52">
        <f t="shared" si="4"/>
        <v>1328.6012526096035</v>
      </c>
      <c r="J13" s="52">
        <f t="shared" si="4"/>
        <v>1315.3456998313659</v>
      </c>
      <c r="K13" s="52">
        <f t="shared" si="4"/>
        <v>1309.5936242488656</v>
      </c>
      <c r="L13" s="52">
        <f t="shared" si="4"/>
        <v>1302.9728739679304</v>
      </c>
      <c r="M13" s="52">
        <f t="shared" si="4"/>
        <v>1302.8883943449557</v>
      </c>
      <c r="N13" s="52">
        <f t="shared" si="4"/>
        <v>1302.8243404446964</v>
      </c>
    </row>
    <row r="14" spans="1:14" x14ac:dyDescent="0.45">
      <c r="A14" s="12" t="s">
        <v>365</v>
      </c>
      <c r="B14" s="3" t="s">
        <v>695</v>
      </c>
      <c r="C14" s="12" t="s">
        <v>73</v>
      </c>
      <c r="G14" s="53">
        <f t="shared" ref="G14:N14" si="5">G24/(G11*MnPerBn)</f>
        <v>2.4705882352941175E-2</v>
      </c>
      <c r="H14" s="53">
        <f t="shared" si="5"/>
        <v>2.5261489698890648E-2</v>
      </c>
      <c r="I14" s="53">
        <f t="shared" si="5"/>
        <v>2.5474544311753611E-2</v>
      </c>
      <c r="J14" s="53">
        <f t="shared" si="5"/>
        <v>2.583076923076923E-2</v>
      </c>
      <c r="K14" s="53">
        <f t="shared" si="5"/>
        <v>2.6042750977429828E-2</v>
      </c>
      <c r="L14" s="53">
        <f t="shared" si="5"/>
        <v>2.6191726166627443E-2</v>
      </c>
      <c r="M14" s="53">
        <f t="shared" si="5"/>
        <v>2.6290664174605807E-2</v>
      </c>
      <c r="N14" s="53">
        <f t="shared" si="5"/>
        <v>2.6389858862223285E-2</v>
      </c>
    </row>
    <row r="15" spans="1:14" x14ac:dyDescent="0.45">
      <c r="A15" s="12" t="s">
        <v>373</v>
      </c>
      <c r="B15" s="3" t="s">
        <v>696</v>
      </c>
      <c r="C15" s="12" t="s">
        <v>73</v>
      </c>
      <c r="G15" s="53">
        <f t="shared" ref="G15:N15" si="6">G31/(G11*MnPerBn)</f>
        <v>1.952069716775599E-2</v>
      </c>
      <c r="H15" s="53">
        <f t="shared" si="6"/>
        <v>1.9833597464342313E-2</v>
      </c>
      <c r="I15" s="53">
        <f t="shared" si="6"/>
        <v>1.996228786926461E-2</v>
      </c>
      <c r="J15" s="53">
        <f t="shared" si="6"/>
        <v>1.9953846153846155E-2</v>
      </c>
      <c r="K15" s="53">
        <f t="shared" si="6"/>
        <v>2.0000684218960275E-2</v>
      </c>
      <c r="L15" s="53">
        <f t="shared" si="6"/>
        <v>2.0049606603053122E-2</v>
      </c>
      <c r="M15" s="53">
        <f t="shared" si="6"/>
        <v>2.0098509051409943E-2</v>
      </c>
      <c r="N15" s="53">
        <f t="shared" si="6"/>
        <v>2.014767677403807E-2</v>
      </c>
    </row>
    <row r="16" spans="1:14" x14ac:dyDescent="0.45">
      <c r="A16" s="12" t="s">
        <v>400</v>
      </c>
      <c r="B16" s="3" t="s">
        <v>697</v>
      </c>
      <c r="C16" s="12" t="s">
        <v>183</v>
      </c>
      <c r="G16" s="54">
        <f t="shared" ref="G16:N16" si="7">G29/(G11*MnPerBn)*BpsPerUnit</f>
        <v>51.851851851851848</v>
      </c>
      <c r="H16" s="54">
        <f t="shared" si="7"/>
        <v>54.278922345483359</v>
      </c>
      <c r="I16" s="54">
        <f t="shared" si="7"/>
        <v>55.122564424889994</v>
      </c>
      <c r="J16" s="54">
        <f t="shared" si="7"/>
        <v>58.769230769230774</v>
      </c>
      <c r="K16" s="54">
        <f t="shared" si="7"/>
        <v>60.420667584695515</v>
      </c>
      <c r="L16" s="54">
        <f t="shared" si="7"/>
        <v>61.421195635743175</v>
      </c>
      <c r="M16" s="54">
        <f t="shared" si="7"/>
        <v>61.921551231958652</v>
      </c>
      <c r="N16" s="54">
        <f t="shared" si="7"/>
        <v>62.421820881852142</v>
      </c>
    </row>
    <row r="17" spans="1:14" x14ac:dyDescent="0.45">
      <c r="A17" s="12" t="s">
        <v>356</v>
      </c>
      <c r="B17" s="3" t="s">
        <v>179</v>
      </c>
      <c r="C17" s="12" t="s">
        <v>73</v>
      </c>
      <c r="H17" s="51">
        <f t="shared" ref="H17:N17" si="8">H13/G13-1</f>
        <v>1.1978148649325782E-2</v>
      </c>
      <c r="I17" s="51">
        <f t="shared" si="8"/>
        <v>-2.7499677418287405E-2</v>
      </c>
      <c r="J17" s="51">
        <f t="shared" si="8"/>
        <v>-9.9770738227149547E-3</v>
      </c>
      <c r="K17" s="51">
        <f t="shared" si="8"/>
        <v>-4.3730523338751937E-3</v>
      </c>
      <c r="L17" s="51">
        <f t="shared" si="8"/>
        <v>-5.0555761408296318E-3</v>
      </c>
      <c r="M17" s="51">
        <f t="shared" si="8"/>
        <v>-6.4836056576811352E-5</v>
      </c>
      <c r="N17" s="51">
        <f t="shared" si="8"/>
        <v>-4.9162998563279103E-5</v>
      </c>
    </row>
    <row r="18" spans="1:14" x14ac:dyDescent="0.45">
      <c r="A18" s="12" t="s">
        <v>357</v>
      </c>
      <c r="B18" s="3" t="s">
        <v>358</v>
      </c>
      <c r="C18" s="12" t="s">
        <v>73</v>
      </c>
      <c r="H18" s="51">
        <f>SUMIFS(Src_Val,Src_Key,"cpi_fafh",Src_PK,"FY-"&amp;H$6)/SUMIFS(Src_Val,Src_Key,"cpi_fafh",Src_PK,"FY-"&amp;G$6)-1</f>
        <v>7.0835675982854784E-2</v>
      </c>
      <c r="I18" s="51">
        <f>SUMIFS(Src_Val,Src_Key,"cpi_fafh",Src_PK,"FY-"&amp;I$6)/SUMIFS(Src_Val,Src_Key,"cpi_fafh",Src_PK,"FY-"&amp;H$6)-1</f>
        <v>4.0894155638860008E-2</v>
      </c>
      <c r="J18" s="51">
        <f>SUMIFS(Src_Val,Src_Key,"cpi_fafh",Src_PK,"FY-"&amp;J$6)/SUMIFS(Src_Val,Src_Key,"cpi_fafh",Src_PK,"FY-"&amp;I$6)-1</f>
        <v>3.6976973122201606E-2</v>
      </c>
    </row>
    <row r="19" spans="1:14" x14ac:dyDescent="0.45">
      <c r="A19" s="12" t="s">
        <v>359</v>
      </c>
      <c r="B19" s="3" t="s">
        <v>360</v>
      </c>
      <c r="C19" s="12" t="s">
        <v>73</v>
      </c>
      <c r="H19" s="51">
        <f>(1+H17)/(1+H18)-1</f>
        <v>-5.4964107615771418E-2</v>
      </c>
      <c r="I19" s="51">
        <f>(1+I17)/(1+I18)-1</f>
        <v>-6.5706808599736988E-2</v>
      </c>
      <c r="J19" s="51">
        <f>(1+J17)/(1+J18)-1</f>
        <v>-4.5279739243914041E-2</v>
      </c>
    </row>
    <row r="20" spans="1:14" x14ac:dyDescent="0.45">
      <c r="A20" s="12" t="s">
        <v>698</v>
      </c>
      <c r="B20" s="3" t="s">
        <v>699</v>
      </c>
      <c r="C20" s="12" t="s">
        <v>694</v>
      </c>
      <c r="H20" s="52">
        <f t="shared" ref="H20:N20" si="9">(H11-G11)*Mn/(H10-G10)</f>
        <v>1411.2820512820515</v>
      </c>
      <c r="I20" s="52">
        <f t="shared" si="9"/>
        <v>1201.8264840182655</v>
      </c>
      <c r="J20" s="52">
        <f t="shared" si="9"/>
        <v>1259.6491228070167</v>
      </c>
      <c r="K20" s="52">
        <f t="shared" si="9"/>
        <v>1282.6293489886068</v>
      </c>
      <c r="L20" s="52">
        <f t="shared" si="9"/>
        <v>1267.2839633596466</v>
      </c>
      <c r="M20" s="52">
        <f t="shared" si="9"/>
        <v>1302.3585477961203</v>
      </c>
      <c r="N20" s="52">
        <f t="shared" si="9"/>
        <v>1302.358547796123</v>
      </c>
    </row>
    <row r="21" spans="1:14" x14ac:dyDescent="0.45">
      <c r="A21" s="12" t="s">
        <v>700</v>
      </c>
      <c r="B21" s="3" t="s">
        <v>701</v>
      </c>
      <c r="C21" s="12" t="s">
        <v>296</v>
      </c>
      <c r="H21" s="63">
        <f t="shared" ref="H21:N21" si="10">H20/H13</f>
        <v>1.0330204396765414</v>
      </c>
      <c r="I21" s="63">
        <f t="shared" si="10"/>
        <v>0.90458027316899614</v>
      </c>
      <c r="J21" s="63">
        <f t="shared" si="10"/>
        <v>0.95765632028789871</v>
      </c>
      <c r="K21" s="63">
        <f t="shared" si="10"/>
        <v>0.97941019659764728</v>
      </c>
      <c r="L21" s="63">
        <f t="shared" si="10"/>
        <v>0.97260962885620117</v>
      </c>
      <c r="M21" s="63">
        <f t="shared" si="10"/>
        <v>0.99959332928964972</v>
      </c>
      <c r="N21" s="63">
        <f t="shared" si="10"/>
        <v>0.99964247471119982</v>
      </c>
    </row>
    <row r="22" spans="1:14" x14ac:dyDescent="0.45">
      <c r="A22" s="21"/>
      <c r="B22" s="22" t="s">
        <v>702</v>
      </c>
      <c r="C22" s="21"/>
      <c r="D22" s="21"/>
      <c r="E22" s="21"/>
      <c r="F22" s="21"/>
      <c r="G22" s="21"/>
      <c r="H22" s="21"/>
      <c r="I22" s="21"/>
      <c r="J22" s="21"/>
      <c r="K22" s="21"/>
      <c r="L22" s="21"/>
      <c r="M22" s="21"/>
      <c r="N22" s="21"/>
    </row>
    <row r="23" spans="1:14" x14ac:dyDescent="0.45">
      <c r="A23" s="12" t="s">
        <v>350</v>
      </c>
      <c r="B23" s="57" t="s">
        <v>351</v>
      </c>
      <c r="C23" s="12" t="s">
        <v>70</v>
      </c>
      <c r="E23" s="13">
        <f>Hist_A!E9</f>
        <v>101</v>
      </c>
      <c r="F23" s="13">
        <f>Hist_A!F9</f>
        <v>169</v>
      </c>
      <c r="G23" s="13">
        <f>SUMIFS(IS!$E$10:$AK$10,IS!$E$6:$AK$6,G$6)</f>
        <v>323</v>
      </c>
      <c r="H23" s="13">
        <f>SUMIFS(IS!$E$10:$AK$10,IS!$E$6:$AK$6,H$6)</f>
        <v>501</v>
      </c>
      <c r="I23" s="13">
        <f>SUMIFS(IS!$E$10:$AK$10,IS!$E$6:$AK$6,I$6)</f>
        <v>706</v>
      </c>
      <c r="J23" s="13">
        <f>SUMIFS(IS!$E$10:$AK$10,IS!$E$6:$AK$6,J$6)</f>
        <v>936</v>
      </c>
      <c r="K23" s="13">
        <f>SUMIFS(IS!$E$10:$AK$10,IS!$E$6:$AK$6,K$6)</f>
        <v>1188.5204205882353</v>
      </c>
      <c r="L23" s="13">
        <f>SUMIFS(IS!$E$10:$AK$10,IS!$E$6:$AK$6,L$6)</f>
        <v>1465.2215905882354</v>
      </c>
      <c r="M23" s="13">
        <f>SUMIFS(IS!$E$10:$AK$10,IS!$E$6:$AK$6,M$6)</f>
        <v>1758.1188341254901</v>
      </c>
      <c r="N23" s="13">
        <f>SUMIFS(IS!$E$10:$AK$10,IS!$E$6:$AK$6,N$6)</f>
        <v>2059.7253216519211</v>
      </c>
    </row>
    <row r="24" spans="1:14" x14ac:dyDescent="0.45">
      <c r="A24" s="12" t="s">
        <v>369</v>
      </c>
      <c r="B24" s="57" t="s">
        <v>370</v>
      </c>
      <c r="C24" s="12" t="s">
        <v>70</v>
      </c>
      <c r="E24" s="13">
        <f>Hist_A!E10</f>
        <v>644</v>
      </c>
      <c r="F24" s="13">
        <f>Hist_A!F10</f>
        <v>1406</v>
      </c>
      <c r="G24" s="13">
        <f>SUMIFS(IS!$E$11:$AK$11,IS!$E$6:$AK$6,G$6)</f>
        <v>2268</v>
      </c>
      <c r="H24" s="13">
        <f>SUMIFS(IS!$E$11:$AK$11,IS!$E$6:$AK$6,H$6)</f>
        <v>3188</v>
      </c>
      <c r="I24" s="13">
        <f>SUMIFS(IS!$E$11:$AK$11,IS!$E$6:$AK$6,I$6)</f>
        <v>4053</v>
      </c>
      <c r="J24" s="13">
        <f>SUMIFS(IS!$E$11:$AK$11,IS!$E$6:$AK$6,J$6)</f>
        <v>5037</v>
      </c>
      <c r="K24" s="13">
        <f>SUMIFS(IS!$E$11:$AK$11,IS!$E$6:$AK$6,K$6)</f>
        <v>6134.7125372499995</v>
      </c>
      <c r="L24" s="13">
        <f>SUMIFS(IS!$E$11:$AK$11,IS!$E$6:$AK$6,L$6)</f>
        <v>7277.4051863110117</v>
      </c>
      <c r="M24" s="13">
        <f>SUMIFS(IS!$E$11:$AK$11,IS!$E$6:$AK$6,M$6)</f>
        <v>8469.05086184026</v>
      </c>
      <c r="N24" s="13">
        <f>SUMIFS(IS!$E$11:$AK$11,IS!$E$6:$AK$6,N$6)</f>
        <v>9669.5525754945247</v>
      </c>
    </row>
    <row r="25" spans="1:14" x14ac:dyDescent="0.45">
      <c r="A25" s="12" t="s">
        <v>382</v>
      </c>
      <c r="B25" s="57" t="s">
        <v>383</v>
      </c>
      <c r="C25" s="12" t="s">
        <v>70</v>
      </c>
      <c r="E25" s="13">
        <f>Hist_A!E58</f>
        <v>78</v>
      </c>
      <c r="F25" s="13">
        <f>Hist_A!F58</f>
        <v>130</v>
      </c>
      <c r="G25" s="13">
        <f>SUMIFS(IS!$E$12:$AK$12,IS!$E$6:$AK$6,G$6)</f>
        <v>139</v>
      </c>
      <c r="H25" s="13">
        <f>SUMIFS(IS!$E$12:$AK$12,IS!$E$6:$AK$6,H$6)</f>
        <v>176</v>
      </c>
      <c r="I25" s="13">
        <f>SUMIFS(IS!$E$12:$AK$12,IS!$E$6:$AK$6,I$6)</f>
        <v>201</v>
      </c>
      <c r="J25" s="13">
        <f>SUMIFS(IS!$E$12:$AK$12,IS!$E$6:$AK$6,J$6)</f>
        <v>180</v>
      </c>
      <c r="K25" s="13">
        <f>SUMIFS(IS!$E$12:$AK$12,IS!$E$6:$AK$6,K$6)</f>
        <v>177.14823529411765</v>
      </c>
      <c r="L25" s="13">
        <f>SUMIFS(IS!$E$12:$AK$12,IS!$E$6:$AK$6,L$6)</f>
        <v>180.2</v>
      </c>
      <c r="M25" s="13">
        <f>SUMIFS(IS!$E$12:$AK$12,IS!$E$6:$AK$6,M$6)</f>
        <v>176.79999999999998</v>
      </c>
      <c r="N25" s="13">
        <f>SUMIFS(IS!$E$12:$AK$12,IS!$E$6:$AK$6,N$6)</f>
        <v>173.4</v>
      </c>
    </row>
    <row r="26" spans="1:14" x14ac:dyDescent="0.45">
      <c r="A26" s="12" t="s">
        <v>384</v>
      </c>
      <c r="B26" s="4" t="s">
        <v>69</v>
      </c>
      <c r="C26" s="12" t="s">
        <v>70</v>
      </c>
      <c r="E26" s="62">
        <f>Hist_A!E11</f>
        <v>823</v>
      </c>
      <c r="F26" s="62">
        <f>Hist_A!F11</f>
        <v>1705</v>
      </c>
      <c r="G26" s="62">
        <f>SUMIFS(IS!$E$13:$AK$13,IS!$E$6:$AK$6,G$6)</f>
        <v>2730</v>
      </c>
      <c r="H26" s="62">
        <f>SUMIFS(IS!$E$13:$AK$13,IS!$E$6:$AK$6,H$6)</f>
        <v>3865</v>
      </c>
      <c r="I26" s="62">
        <f>SUMIFS(IS!$E$13:$AK$13,IS!$E$6:$AK$6,I$6)</f>
        <v>4960</v>
      </c>
      <c r="J26" s="62">
        <f>SUMIFS(IS!$E$13:$AK$13,IS!$E$6:$AK$6,J$6)</f>
        <v>6153</v>
      </c>
      <c r="K26" s="62">
        <f>SUMIFS(IS!$E$13:$AK$13,IS!$E$6:$AK$6,K$6)</f>
        <v>7500.3811931323526</v>
      </c>
      <c r="L26" s="62">
        <f>SUMIFS(IS!$E$13:$AK$13,IS!$E$6:$AK$6,L$6)</f>
        <v>8922.8267768992464</v>
      </c>
      <c r="M26" s="62">
        <f>SUMIFS(IS!$E$13:$AK$13,IS!$E$6:$AK$6,M$6)</f>
        <v>10403.969695965752</v>
      </c>
      <c r="N26" s="62">
        <f>SUMIFS(IS!$E$13:$AK$13,IS!$E$6:$AK$6,N$6)</f>
        <v>11902.677897146446</v>
      </c>
    </row>
    <row r="27" spans="1:14" x14ac:dyDescent="0.45">
      <c r="A27" s="12" t="s">
        <v>385</v>
      </c>
      <c r="B27" s="3" t="s">
        <v>703</v>
      </c>
      <c r="C27" s="12" t="s">
        <v>73</v>
      </c>
      <c r="F27" s="51">
        <f t="shared" ref="F27:N27" si="11">F26/E26-1</f>
        <v>1.0716889428918592</v>
      </c>
      <c r="G27" s="51">
        <f t="shared" si="11"/>
        <v>0.60117302052785915</v>
      </c>
      <c r="H27" s="51">
        <f t="shared" si="11"/>
        <v>0.41575091575091583</v>
      </c>
      <c r="I27" s="51">
        <f t="shared" si="11"/>
        <v>0.2833117723156533</v>
      </c>
      <c r="J27" s="51">
        <f t="shared" si="11"/>
        <v>0.24052419354838706</v>
      </c>
      <c r="K27" s="51">
        <f t="shared" si="11"/>
        <v>0.21897955357262355</v>
      </c>
      <c r="L27" s="51">
        <f t="shared" si="11"/>
        <v>0.1896497720768302</v>
      </c>
      <c r="M27" s="51">
        <f t="shared" si="11"/>
        <v>0.16599480815890222</v>
      </c>
      <c r="N27" s="51">
        <f t="shared" si="11"/>
        <v>0.14405157309924066</v>
      </c>
    </row>
    <row r="28" spans="1:14" x14ac:dyDescent="0.45">
      <c r="A28" s="12" t="s">
        <v>394</v>
      </c>
      <c r="B28" s="57" t="s">
        <v>98</v>
      </c>
      <c r="C28" s="12" t="s">
        <v>70</v>
      </c>
      <c r="E28" s="13">
        <f>Hist_A!E9-Hist_A!E12</f>
        <v>61</v>
      </c>
      <c r="F28" s="13">
        <f>Hist_A!F9-Hist_A!F12</f>
        <v>106</v>
      </c>
      <c r="G28" s="13">
        <f>SUMIFS(Rev_Build!$E$42:$AK$42,Rev_Build!$E$6:$AK$6,G$6)</f>
        <v>211</v>
      </c>
      <c r="H28" s="13">
        <f>SUMIFS(Rev_Build!$E$42:$AK$42,Rev_Build!$E$6:$AK$6,H$6)</f>
        <v>335</v>
      </c>
      <c r="I28" s="13">
        <f>SUMIFS(Rev_Build!$E$42:$AK$42,Rev_Build!$E$6:$AK$6,I$6)</f>
        <v>487</v>
      </c>
      <c r="J28" s="13">
        <f>SUMIFS(Rev_Build!$E$42:$AK$42,Rev_Build!$E$6:$AK$6,J$6)</f>
        <v>672</v>
      </c>
      <c r="K28" s="13">
        <f>SUMIFS(Rev_Build!$E$42:$AK$42,Rev_Build!$E$6:$AK$6,K$6)</f>
        <v>922.65332595588234</v>
      </c>
      <c r="L28" s="13">
        <f>SUMIFS(Rev_Build!$E$42:$AK$42,Rev_Build!$E$6:$AK$6,L$6)</f>
        <v>1142.8728406588236</v>
      </c>
      <c r="M28" s="13">
        <f>SUMIFS(Rev_Build!$E$42:$AK$42,Rev_Build!$E$6:$AK$6,M$6)</f>
        <v>1380.1232847885099</v>
      </c>
      <c r="N28" s="13">
        <f>SUMIFS(Rev_Build!$E$42:$AK$42,Rev_Build!$E$6:$AK$6,N$6)</f>
        <v>1616.8843774967584</v>
      </c>
    </row>
    <row r="29" spans="1:14" x14ac:dyDescent="0.45">
      <c r="A29" s="12" t="s">
        <v>399</v>
      </c>
      <c r="B29" s="57" t="s">
        <v>99</v>
      </c>
      <c r="C29" s="12" t="s">
        <v>70</v>
      </c>
      <c r="E29" s="13">
        <f>Hist_A!E10-Hist_A!E13</f>
        <v>135</v>
      </c>
      <c r="F29" s="13">
        <f>Hist_A!F10-Hist_A!F13</f>
        <v>286</v>
      </c>
      <c r="G29" s="13">
        <f>SUMIFS(Rev_Build!$E$45:$AK$45,Rev_Build!$E$6:$AK$6,G$6)</f>
        <v>476</v>
      </c>
      <c r="H29" s="13">
        <f>SUMIFS(Rev_Build!$E$45:$AK$45,Rev_Build!$E$6:$AK$6,H$6)</f>
        <v>685</v>
      </c>
      <c r="I29" s="13">
        <f>SUMIFS(Rev_Build!$E$45:$AK$45,Rev_Build!$E$6:$AK$6,I$6)</f>
        <v>877</v>
      </c>
      <c r="J29" s="13">
        <f>SUMIFS(Rev_Build!$E$45:$AK$45,Rev_Build!$E$6:$AK$6,J$6)</f>
        <v>1146</v>
      </c>
      <c r="K29" s="13">
        <f>SUMIFS(Rev_Build!$E$45:$AK$45,Rev_Build!$E$6:$AK$6,K$6)</f>
        <v>1423.28829723897</v>
      </c>
      <c r="L29" s="13">
        <f>SUMIFS(Rev_Build!$E$45:$AK$45,Rev_Build!$E$6:$AK$6,L$6)</f>
        <v>1706.5959105762006</v>
      </c>
      <c r="M29" s="13">
        <f>SUMIFS(Rev_Build!$E$45:$AK$45,Rev_Build!$E$6:$AK$6,M$6)</f>
        <v>1994.6881651397769</v>
      </c>
      <c r="N29" s="13">
        <f>SUMIFS(Rev_Build!$E$45:$AK$45,Rev_Build!$E$6:$AK$6,N$6)</f>
        <v>2287.2084387658606</v>
      </c>
    </row>
    <row r="30" spans="1:14" x14ac:dyDescent="0.45">
      <c r="A30" s="12" t="s">
        <v>410</v>
      </c>
      <c r="B30" s="57" t="s">
        <v>411</v>
      </c>
      <c r="C30" s="12" t="s">
        <v>70</v>
      </c>
      <c r="E30" s="13">
        <f>Hist_A!E58-Hist_A!E59</f>
        <v>-52</v>
      </c>
      <c r="F30" s="13">
        <f>Hist_A!F58-Hist_A!F59</f>
        <v>-74</v>
      </c>
      <c r="G30" s="13">
        <f>SUMIFS(Rev_Build!$E$51:$AK$51,Rev_Build!$E$6:$AK$6,G$6)</f>
        <v>-172</v>
      </c>
      <c r="H30" s="13">
        <f>SUMIFS(Rev_Build!$E$51:$AK$51,Rev_Build!$E$6:$AK$6,H$6)</f>
        <v>-182</v>
      </c>
      <c r="I30" s="13">
        <f>SUMIFS(Rev_Build!$E$51:$AK$51,Rev_Build!$E$6:$AK$6,I$6)</f>
        <v>-170</v>
      </c>
      <c r="J30" s="13">
        <f>SUMIFS(Rev_Build!$E$51:$AK$51,Rev_Build!$E$6:$AK$6,J$6)</f>
        <v>-220</v>
      </c>
      <c r="K30" s="13">
        <f>SUMIFS(Rev_Build!$E$51:$AK$51,Rev_Build!$E$6:$AK$6,K$6)</f>
        <v>-275.2223529411765</v>
      </c>
      <c r="L30" s="13">
        <f>SUMIFS(Rev_Build!$E$51:$AK$51,Rev_Build!$E$6:$AK$6,L$6)</f>
        <v>-272</v>
      </c>
      <c r="M30" s="13">
        <f>SUMIFS(Rev_Build!$E$51:$AK$51,Rev_Build!$E$6:$AK$6,M$6)</f>
        <v>-268.60000000000002</v>
      </c>
      <c r="N30" s="13">
        <f>SUMIFS(Rev_Build!$E$51:$AK$51,Rev_Build!$E$6:$AK$6,N$6)</f>
        <v>-265.2</v>
      </c>
    </row>
    <row r="31" spans="1:14" x14ac:dyDescent="0.45">
      <c r="A31" s="12" t="s">
        <v>395</v>
      </c>
      <c r="B31" s="57" t="s">
        <v>704</v>
      </c>
      <c r="C31" s="12" t="s">
        <v>70</v>
      </c>
      <c r="G31" s="13">
        <f>SUMIFS(Rev_Build!$E$43:$AK$43,Rev_Build!$E$6:$AK$6,G$6)</f>
        <v>1792</v>
      </c>
      <c r="H31" s="13">
        <f>SUMIFS(Rev_Build!$E$43:$AK$43,Rev_Build!$E$6:$AK$6,H$6)</f>
        <v>2503</v>
      </c>
      <c r="I31" s="13">
        <f>SUMIFS(Rev_Build!$E$43:$AK$43,Rev_Build!$E$6:$AK$6,I$6)</f>
        <v>3176</v>
      </c>
      <c r="J31" s="13">
        <f>SUMIFS(Rev_Build!$E$43:$AK$43,Rev_Build!$E$6:$AK$6,J$6)</f>
        <v>3891</v>
      </c>
      <c r="K31" s="13">
        <f>SUMIFS(Rev_Build!$E$43:$AK$43,Rev_Build!$E$6:$AK$6,K$6)</f>
        <v>4711.4242400110297</v>
      </c>
      <c r="L31" s="13">
        <f>SUMIFS(Rev_Build!$E$43:$AK$43,Rev_Build!$E$6:$AK$6,L$6)</f>
        <v>5570.8092757348104</v>
      </c>
      <c r="M31" s="13">
        <f>SUMIFS(Rev_Build!$E$43:$AK$43,Rev_Build!$E$6:$AK$6,M$6)</f>
        <v>6474.3626967004839</v>
      </c>
      <c r="N31" s="13">
        <f>SUMIFS(Rev_Build!$E$43:$AK$43,Rev_Build!$E$6:$AK$6,N$6)</f>
        <v>7382.3441367286641</v>
      </c>
    </row>
    <row r="32" spans="1:14" x14ac:dyDescent="0.45">
      <c r="A32" s="12" t="s">
        <v>390</v>
      </c>
      <c r="B32" s="3" t="s">
        <v>391</v>
      </c>
      <c r="C32" s="12" t="s">
        <v>73</v>
      </c>
      <c r="E32" s="51">
        <f t="shared" ref="E32:N32" si="12">E28/E23</f>
        <v>0.60396039603960394</v>
      </c>
      <c r="F32" s="51">
        <f t="shared" si="12"/>
        <v>0.62721893491124259</v>
      </c>
      <c r="G32" s="51">
        <f t="shared" si="12"/>
        <v>0.65325077399380804</v>
      </c>
      <c r="H32" s="51">
        <f t="shared" si="12"/>
        <v>0.66866267465069862</v>
      </c>
      <c r="I32" s="51">
        <f t="shared" si="12"/>
        <v>0.6898016997167139</v>
      </c>
      <c r="J32" s="51">
        <f t="shared" si="12"/>
        <v>0.71794871794871795</v>
      </c>
      <c r="K32" s="51">
        <f t="shared" si="12"/>
        <v>0.77630414250622037</v>
      </c>
      <c r="L32" s="51">
        <f t="shared" si="12"/>
        <v>0.78</v>
      </c>
      <c r="M32" s="51">
        <f t="shared" si="12"/>
        <v>0.78500000000000003</v>
      </c>
      <c r="N32" s="51">
        <f t="shared" si="12"/>
        <v>0.78500000000000014</v>
      </c>
    </row>
    <row r="33" spans="1:14" x14ac:dyDescent="0.45">
      <c r="A33" s="12" t="s">
        <v>397</v>
      </c>
      <c r="B33" s="3" t="s">
        <v>705</v>
      </c>
      <c r="C33" s="12" t="s">
        <v>73</v>
      </c>
      <c r="E33" s="51">
        <f t="shared" ref="E33:N33" si="13">E29/E24</f>
        <v>0.20962732919254659</v>
      </c>
      <c r="F33" s="51">
        <f t="shared" si="13"/>
        <v>0.20341394025604551</v>
      </c>
      <c r="G33" s="51">
        <f t="shared" si="13"/>
        <v>0.20987654320987653</v>
      </c>
      <c r="H33" s="51">
        <f t="shared" si="13"/>
        <v>0.21486825595984943</v>
      </c>
      <c r="I33" s="51">
        <f t="shared" si="13"/>
        <v>0.21638292622748581</v>
      </c>
      <c r="J33" s="51">
        <f t="shared" si="13"/>
        <v>0.22751637879690292</v>
      </c>
      <c r="K33" s="51">
        <f t="shared" si="13"/>
        <v>0.23200570338002924</v>
      </c>
      <c r="L33" s="51">
        <f t="shared" si="13"/>
        <v>0.23450610030431615</v>
      </c>
      <c r="M33" s="51">
        <f t="shared" si="13"/>
        <v>0.2355267665385524</v>
      </c>
      <c r="N33" s="51">
        <f t="shared" si="13"/>
        <v>0.23653715318352123</v>
      </c>
    </row>
    <row r="34" spans="1:14" x14ac:dyDescent="0.45">
      <c r="A34" s="12" t="s">
        <v>417</v>
      </c>
      <c r="B34" s="57" t="s">
        <v>663</v>
      </c>
      <c r="C34" s="12" t="s">
        <v>70</v>
      </c>
      <c r="E34" s="13">
        <f>Hist_A!E14</f>
        <v>4</v>
      </c>
      <c r="F34" s="13">
        <f>Hist_A!F14</f>
        <v>4</v>
      </c>
      <c r="G34" s="13">
        <f>SUMIFS(IS!$E$18:$AK$18,IS!$E$6:$AK$6,G$6)</f>
        <v>4</v>
      </c>
      <c r="H34" s="13">
        <f>SUMIFS(IS!$E$18:$AK$18,IS!$E$6:$AK$6,H$6)</f>
        <v>4</v>
      </c>
      <c r="I34" s="13">
        <f>SUMIFS(IS!$E$18:$AK$18,IS!$E$6:$AK$6,I$6)</f>
        <v>4</v>
      </c>
      <c r="J34" s="13">
        <f>SUMIFS(IS!$E$18:$AK$18,IS!$E$6:$AK$6,J$6)</f>
        <v>5</v>
      </c>
      <c r="K34" s="13">
        <f>SUMIFS(IS!$E$18:$AK$18,IS!$E$6:$AK$6,K$6)</f>
        <v>4</v>
      </c>
      <c r="L34" s="13">
        <f>SUMIFS(IS!$E$18:$AK$18,IS!$E$6:$AK$6,L$6)</f>
        <v>4</v>
      </c>
      <c r="M34" s="13">
        <f>SUMIFS(IS!$E$18:$AK$18,IS!$E$6:$AK$6,M$6)</f>
        <v>4</v>
      </c>
      <c r="N34" s="13">
        <f>SUMIFS(IS!$E$18:$AK$18,IS!$E$6:$AK$6,N$6)</f>
        <v>4</v>
      </c>
    </row>
    <row r="35" spans="1:14" x14ac:dyDescent="0.45">
      <c r="A35" s="12" t="s">
        <v>445</v>
      </c>
      <c r="B35" s="4" t="s">
        <v>446</v>
      </c>
      <c r="C35" s="12" t="s">
        <v>70</v>
      </c>
      <c r="E35" s="62">
        <f>Hist_A!E16</f>
        <v>140</v>
      </c>
      <c r="F35" s="62">
        <f>Hist_A!F16</f>
        <v>314</v>
      </c>
      <c r="G35" s="62">
        <f>SUMIFS(IS!$E$20:$AK$20,IS!$E$6:$AK$6,G$6)</f>
        <v>511</v>
      </c>
      <c r="H35" s="62">
        <f>SUMIFS(IS!$E$20:$AK$20,IS!$E$6:$AK$6,H$6)</f>
        <v>834</v>
      </c>
      <c r="I35" s="62">
        <f>SUMIFS(IS!$E$20:$AK$20,IS!$E$6:$AK$6,I$6)</f>
        <v>1190</v>
      </c>
      <c r="J35" s="62">
        <f>SUMIFS(IS!$E$20:$AK$20,IS!$E$6:$AK$6,J$6)</f>
        <v>1593</v>
      </c>
      <c r="K35" s="62">
        <f>SUMIFS(IS!$E$20:$AK$20,IS!$E$6:$AK$6,K$6)</f>
        <v>2066.7192702536759</v>
      </c>
      <c r="L35" s="62">
        <f>SUMIFS(IS!$E$20:$AK$20,IS!$E$6:$AK$6,L$6)</f>
        <v>2573.4687512350242</v>
      </c>
      <c r="M35" s="62">
        <f>SUMIFS(IS!$E$20:$AK$20,IS!$E$6:$AK$6,M$6)</f>
        <v>3102.2114499282861</v>
      </c>
      <c r="N35" s="62">
        <f>SUMIFS(IS!$E$20:$AK$20,IS!$E$6:$AK$6,N$6)</f>
        <v>3634.8928162626185</v>
      </c>
    </row>
    <row r="36" spans="1:14" x14ac:dyDescent="0.45">
      <c r="A36" s="12" t="s">
        <v>422</v>
      </c>
      <c r="B36" s="4" t="s">
        <v>706</v>
      </c>
      <c r="C36" s="12" t="s">
        <v>70</v>
      </c>
      <c r="E36" s="49">
        <f t="shared" ref="E36:N36" si="14">E28+E29</f>
        <v>196</v>
      </c>
      <c r="F36" s="49">
        <f t="shared" si="14"/>
        <v>392</v>
      </c>
      <c r="G36" s="49">
        <f t="shared" si="14"/>
        <v>687</v>
      </c>
      <c r="H36" s="49">
        <f t="shared" si="14"/>
        <v>1020</v>
      </c>
      <c r="I36" s="49">
        <f t="shared" si="14"/>
        <v>1364</v>
      </c>
      <c r="J36" s="49">
        <f t="shared" si="14"/>
        <v>1818</v>
      </c>
      <c r="K36" s="49">
        <f t="shared" si="14"/>
        <v>2345.9416231948526</v>
      </c>
      <c r="L36" s="49">
        <f t="shared" si="14"/>
        <v>2849.4687512350242</v>
      </c>
      <c r="M36" s="49">
        <f t="shared" si="14"/>
        <v>3374.8114499282865</v>
      </c>
      <c r="N36" s="49">
        <f t="shared" si="14"/>
        <v>3904.0928162626187</v>
      </c>
    </row>
    <row r="37" spans="1:14" x14ac:dyDescent="0.45">
      <c r="A37" s="12" t="s">
        <v>428</v>
      </c>
      <c r="B37" s="4" t="s">
        <v>707</v>
      </c>
      <c r="C37" s="12" t="s">
        <v>70</v>
      </c>
      <c r="H37" s="48">
        <f>SUMIFS(Rev_Build!$E$61:$AK$61,Rev_Build!$E$6:$AK$6,H$6)</f>
        <v>1057</v>
      </c>
      <c r="I37" s="48">
        <f>SUMIFS(Rev_Build!$E$61:$AK$61,Rev_Build!$E$6:$AK$6,I$6)</f>
        <v>1417</v>
      </c>
      <c r="J37" s="48">
        <f>SUMIFS(Rev_Build!$E$61:$AK$61,Rev_Build!$E$6:$AK$6,J$6)</f>
        <v>1887</v>
      </c>
      <c r="K37" s="48">
        <f>SUMIFS(Rev_Build!$E$61:$AK$61,Rev_Build!$E$6:$AK$6,K$6)</f>
        <v>2384.9416231948526</v>
      </c>
      <c r="L37" s="48">
        <f>SUMIFS(Rev_Build!$E$61:$AK$61,Rev_Build!$E$6:$AK$6,L$6)</f>
        <v>2889.4687512350238</v>
      </c>
      <c r="M37" s="48">
        <f>SUMIFS(Rev_Build!$E$61:$AK$61,Rev_Build!$E$6:$AK$6,M$6)</f>
        <v>3414.8114499282865</v>
      </c>
      <c r="N37" s="48">
        <f>SUMIFS(Rev_Build!$E$61:$AK$61,Rev_Build!$E$6:$AK$6,N$6)</f>
        <v>3944.0928162626196</v>
      </c>
    </row>
    <row r="38" spans="1:14" x14ac:dyDescent="0.45">
      <c r="A38" s="12" t="s">
        <v>424</v>
      </c>
      <c r="B38" s="3" t="s">
        <v>708</v>
      </c>
      <c r="C38" s="12" t="s">
        <v>73</v>
      </c>
      <c r="I38" s="51">
        <f t="shared" ref="I38:N38" si="15">I37/H37-1</f>
        <v>0.34058656575212876</v>
      </c>
      <c r="J38" s="51">
        <f t="shared" si="15"/>
        <v>0.33168666196189123</v>
      </c>
      <c r="K38" s="51">
        <f t="shared" si="15"/>
        <v>0.26388003348958811</v>
      </c>
      <c r="L38" s="51">
        <f t="shared" si="15"/>
        <v>0.21154695072339336</v>
      </c>
      <c r="M38" s="51">
        <f t="shared" si="15"/>
        <v>0.18181290192832833</v>
      </c>
      <c r="N38" s="51">
        <f t="shared" si="15"/>
        <v>0.15499578061490005</v>
      </c>
    </row>
    <row r="39" spans="1:14" x14ac:dyDescent="0.45">
      <c r="A39" s="12" t="s">
        <v>450</v>
      </c>
      <c r="B39" s="57" t="s">
        <v>451</v>
      </c>
      <c r="C39" s="12" t="s">
        <v>70</v>
      </c>
      <c r="E39" s="13">
        <f>Hist_A!E17</f>
        <v>138</v>
      </c>
      <c r="F39" s="13">
        <f>Hist_A!F17</f>
        <v>190</v>
      </c>
      <c r="G39" s="13">
        <f>SUMIFS(IS!$E$23:$AK$23,IS!$E$6:$AK$6,G$6)</f>
        <v>319</v>
      </c>
      <c r="H39" s="13">
        <f>SUMIFS(IS!$E$23:$AK$23,IS!$E$6:$AK$6,H$6)</f>
        <v>401</v>
      </c>
      <c r="I39" s="13">
        <f>SUMIFS(IS!$E$23:$AK$23,IS!$E$6:$AK$6,I$6)</f>
        <v>471</v>
      </c>
      <c r="J39" s="13">
        <f>SUMIFS(IS!$E$23:$AK$23,IS!$E$6:$AK$6,J$6)</f>
        <v>571</v>
      </c>
      <c r="K39" s="13">
        <f>SUMIFS(IS!$E$23:$AK$23,IS!$E$6:$AK$6,K$6)</f>
        <v>672.84263506371883</v>
      </c>
      <c r="L39" s="13">
        <f>SUMIFS(IS!$E$23:$AK$23,IS!$E$6:$AK$6,L$6)</f>
        <v>809.24093524915315</v>
      </c>
      <c r="M39" s="13">
        <f>SUMIFS(IS!$E$23:$AK$23,IS!$E$6:$AK$6,M$6)</f>
        <v>940.4760346493623</v>
      </c>
      <c r="N39" s="13">
        <f>SUMIFS(IS!$E$23:$AK$23,IS!$E$6:$AK$6,N$6)</f>
        <v>1077.7373392741965</v>
      </c>
    </row>
    <row r="40" spans="1:14" x14ac:dyDescent="0.45">
      <c r="A40" s="12" t="s">
        <v>452</v>
      </c>
      <c r="B40" s="57" t="s">
        <v>453</v>
      </c>
      <c r="C40" s="12" t="s">
        <v>70</v>
      </c>
      <c r="E40" s="13">
        <f>Hist_A!E18</f>
        <v>109</v>
      </c>
      <c r="F40" s="13">
        <f>Hist_A!F18</f>
        <v>163</v>
      </c>
      <c r="G40" s="13">
        <f>SUMIFS(IS!$E$24:$AK$24,IS!$E$6:$AK$6,G$6)</f>
        <v>282</v>
      </c>
      <c r="H40" s="13">
        <f>SUMIFS(IS!$E$24:$AK$24,IS!$E$6:$AK$6,H$6)</f>
        <v>358</v>
      </c>
      <c r="I40" s="13">
        <f>SUMIFS(IS!$E$24:$AK$24,IS!$E$6:$AK$6,I$6)</f>
        <v>352</v>
      </c>
      <c r="J40" s="13">
        <f>SUMIFS(IS!$E$24:$AK$24,IS!$E$6:$AK$6,J$6)</f>
        <v>374</v>
      </c>
      <c r="K40" s="13">
        <f>SUMIFS(IS!$E$24:$AK$24,IS!$E$6:$AK$6,K$6)</f>
        <v>438.30344926054039</v>
      </c>
      <c r="L40" s="13">
        <f>SUMIFS(IS!$E$24:$AK$24,IS!$E$6:$AK$6,L$6)</f>
        <v>507.25341049208407</v>
      </c>
      <c r="M40" s="13">
        <f>SUMIFS(IS!$E$24:$AK$24,IS!$E$6:$AK$6,M$6)</f>
        <v>573.52687956920818</v>
      </c>
      <c r="N40" s="13">
        <f>SUMIFS(IS!$E$24:$AK$24,IS!$E$6:$AK$6,N$6)</f>
        <v>640.64199623790034</v>
      </c>
    </row>
    <row r="41" spans="1:14" x14ac:dyDescent="0.45">
      <c r="A41" s="12" t="s">
        <v>454</v>
      </c>
      <c r="B41" s="57" t="s">
        <v>455</v>
      </c>
      <c r="C41" s="12" t="s">
        <v>70</v>
      </c>
      <c r="E41" s="13">
        <f>Hist_A!E19</f>
        <v>113</v>
      </c>
      <c r="F41" s="13">
        <f>Hist_A!F19</f>
        <v>189</v>
      </c>
      <c r="G41" s="13">
        <f>SUMIFS(IS!$E$25:$AK$25,IS!$E$6:$AK$6,G$6)</f>
        <v>294</v>
      </c>
      <c r="H41" s="13">
        <f>SUMIFS(IS!$E$25:$AK$25,IS!$E$6:$AK$6,H$6)</f>
        <v>362</v>
      </c>
      <c r="I41" s="13">
        <f>SUMIFS(IS!$E$25:$AK$25,IS!$E$6:$AK$6,I$6)</f>
        <v>307</v>
      </c>
      <c r="J41" s="13">
        <f>SUMIFS(IS!$E$25:$AK$25,IS!$E$6:$AK$6,J$6)</f>
        <v>344</v>
      </c>
      <c r="K41" s="13">
        <f>SUMIFS(IS!$E$25:$AK$25,IS!$E$6:$AK$6,K$6)</f>
        <v>379.71197998977289</v>
      </c>
      <c r="L41" s="13">
        <f>SUMIFS(IS!$E$25:$AK$25,IS!$E$6:$AK$6,L$6)</f>
        <v>433.99856923953803</v>
      </c>
      <c r="M41" s="13">
        <f>SUMIFS(IS!$E$25:$AK$25,IS!$E$6:$AK$6,M$6)</f>
        <v>483.66055998275363</v>
      </c>
      <c r="N41" s="13">
        <f>SUMIFS(IS!$E$25:$AK$25,IS!$E$6:$AK$6,N$6)</f>
        <v>532.76689859375131</v>
      </c>
    </row>
    <row r="42" spans="1:14" x14ac:dyDescent="0.45">
      <c r="A42" s="12" t="s">
        <v>456</v>
      </c>
      <c r="B42" s="57" t="s">
        <v>457</v>
      </c>
      <c r="C42" s="12" t="s">
        <v>70</v>
      </c>
      <c r="E42" s="13">
        <f>Hist_A!E20</f>
        <v>0</v>
      </c>
      <c r="F42" s="13">
        <f>Hist_A!F20</f>
        <v>0</v>
      </c>
      <c r="G42" s="13">
        <f>SUMIFS(IS!$E$26:$AK$26,IS!$E$6:$AK$6,G$6)</f>
        <v>0</v>
      </c>
      <c r="H42" s="13">
        <f>SUMIFS(IS!$E$26:$AK$26,IS!$E$6:$AK$6,H$6)</f>
        <v>0</v>
      </c>
      <c r="I42" s="13">
        <f>SUMIFS(IS!$E$26:$AK$26,IS!$E$6:$AK$6,I$6)</f>
        <v>45</v>
      </c>
      <c r="J42" s="13">
        <f>SUMIFS(IS!$E$26:$AK$26,IS!$E$6:$AK$6,J$6)</f>
        <v>12</v>
      </c>
      <c r="K42" s="13">
        <f>SUMIFS(IS!$E$26:$AK$26,IS!$E$6:$AK$6,K$6)</f>
        <v>0</v>
      </c>
      <c r="L42" s="13">
        <f>SUMIFS(IS!$E$26:$AK$26,IS!$E$6:$AK$6,L$6)</f>
        <v>0</v>
      </c>
      <c r="M42" s="13">
        <f>SUMIFS(IS!$E$26:$AK$26,IS!$E$6:$AK$6,M$6)</f>
        <v>0</v>
      </c>
      <c r="N42" s="13">
        <f>SUMIFS(IS!$E$26:$AK$26,IS!$E$6:$AK$6,N$6)</f>
        <v>0</v>
      </c>
    </row>
    <row r="43" spans="1:14" x14ac:dyDescent="0.45">
      <c r="A43" s="12" t="s">
        <v>458</v>
      </c>
      <c r="B43" s="3" t="s">
        <v>459</v>
      </c>
      <c r="C43" s="12" t="s">
        <v>70</v>
      </c>
      <c r="E43" s="64">
        <f>Hist_A!E21</f>
        <v>360</v>
      </c>
      <c r="F43" s="64">
        <f>Hist_A!F21</f>
        <v>542</v>
      </c>
      <c r="G43" s="64">
        <f>SUMIFS(IS!$E$27:$AK$27,IS!$E$6:$AK$6,G$6)</f>
        <v>895</v>
      </c>
      <c r="H43" s="64">
        <f>SUMIFS(IS!$E$27:$AK$27,IS!$E$6:$AK$6,H$6)</f>
        <v>1121</v>
      </c>
      <c r="I43" s="64">
        <f>SUMIFS(IS!$E$27:$AK$27,IS!$E$6:$AK$6,I$6)</f>
        <v>1175</v>
      </c>
      <c r="J43" s="64">
        <f>SUMIFS(IS!$E$27:$AK$27,IS!$E$6:$AK$6,J$6)</f>
        <v>1301</v>
      </c>
      <c r="K43" s="64">
        <f>SUMIFS(IS!$E$27:$AK$27,IS!$E$6:$AK$6,K$6)</f>
        <v>1490.8580643140322</v>
      </c>
      <c r="L43" s="64">
        <f>SUMIFS(IS!$E$27:$AK$27,IS!$E$6:$AK$6,L$6)</f>
        <v>1750.4929149807751</v>
      </c>
      <c r="M43" s="64">
        <f>SUMIFS(IS!$E$27:$AK$27,IS!$E$6:$AK$6,M$6)</f>
        <v>1997.6634742013239</v>
      </c>
      <c r="N43" s="64">
        <f>SUMIFS(IS!$E$27:$AK$27,IS!$E$6:$AK$6,N$6)</f>
        <v>2251.1462341058482</v>
      </c>
    </row>
    <row r="44" spans="1:14" x14ac:dyDescent="0.45">
      <c r="A44" s="12" t="s">
        <v>460</v>
      </c>
      <c r="B44" s="3" t="s">
        <v>461</v>
      </c>
      <c r="C44" s="12" t="s">
        <v>73</v>
      </c>
      <c r="E44" s="51">
        <f t="shared" ref="E44:N44" si="16">E43/E36</f>
        <v>1.8367346938775511</v>
      </c>
      <c r="F44" s="51">
        <f t="shared" si="16"/>
        <v>1.3826530612244898</v>
      </c>
      <c r="G44" s="51">
        <f t="shared" si="16"/>
        <v>1.3027656477438136</v>
      </c>
      <c r="H44" s="51">
        <f t="shared" si="16"/>
        <v>1.0990196078431373</v>
      </c>
      <c r="I44" s="51">
        <f t="shared" si="16"/>
        <v>0.86143695014662758</v>
      </c>
      <c r="J44" s="51">
        <f t="shared" si="16"/>
        <v>0.71562156215621564</v>
      </c>
      <c r="K44" s="51">
        <f t="shared" si="16"/>
        <v>0.63550518460203065</v>
      </c>
      <c r="L44" s="51">
        <f t="shared" si="16"/>
        <v>0.61432255195712249</v>
      </c>
      <c r="M44" s="51">
        <f t="shared" si="16"/>
        <v>0.59193335800842251</v>
      </c>
      <c r="N44" s="51">
        <f t="shared" si="16"/>
        <v>0.57661186351119254</v>
      </c>
    </row>
    <row r="45" spans="1:14" x14ac:dyDescent="0.45">
      <c r="A45" s="12" t="s">
        <v>479</v>
      </c>
      <c r="B45" s="57" t="s">
        <v>709</v>
      </c>
      <c r="C45" s="12" t="s">
        <v>70</v>
      </c>
      <c r="G45" s="13">
        <f>SUMIFS(IS!$E$38:$AK$38,IS!$E$6:$AK$6,G$6)</f>
        <v>264</v>
      </c>
      <c r="H45" s="13">
        <f>SUMIFS(IS!$E$38:$AK$38,IS!$E$6:$AK$6,H$6)</f>
        <v>336</v>
      </c>
      <c r="I45" s="13">
        <f>SUMIFS(IS!$E$38:$AK$38,IS!$E$6:$AK$6,I$6)</f>
        <v>409</v>
      </c>
      <c r="J45" s="13">
        <f>SUMIFS(IS!$E$38:$AK$38,IS!$E$6:$AK$6,J$6)</f>
        <v>508</v>
      </c>
      <c r="K45" s="13">
        <f>SUMIFS(IS!$E$38:$AK$38,IS!$E$6:$AK$6,K$6)</f>
        <v>609.125</v>
      </c>
      <c r="L45" s="13">
        <f>SUMIFS(IS!$E$38:$AK$38,IS!$E$6:$AK$6,L$6)</f>
        <v>736.81264705882359</v>
      </c>
      <c r="M45" s="13">
        <f>SUMIFS(IS!$E$38:$AK$38,IS!$E$6:$AK$6,M$6)</f>
        <v>858.43705882352947</v>
      </c>
      <c r="N45" s="13">
        <f>SUMIFS(IS!$E$38:$AK$38,IS!$E$6:$AK$6,N$6)</f>
        <v>986.86147058823508</v>
      </c>
    </row>
    <row r="46" spans="1:14" x14ac:dyDescent="0.45">
      <c r="A46" s="12" t="s">
        <v>481</v>
      </c>
      <c r="B46" s="58" t="s">
        <v>710</v>
      </c>
      <c r="C46" s="12" t="s">
        <v>70</v>
      </c>
      <c r="G46" s="13">
        <f>SUMIFS(IS!$E$39:$AK$39,IS!$E$6:$AK$6,G$6)</f>
        <v>136</v>
      </c>
      <c r="H46" s="13">
        <f>SUMIFS(IS!$E$39:$AK$39,IS!$E$6:$AK$6,H$6)</f>
        <v>184.75</v>
      </c>
      <c r="I46" s="13">
        <f>SUMIFS(IS!$E$39:$AK$39,IS!$E$6:$AK$6,I$6)</f>
        <v>239.5</v>
      </c>
      <c r="J46" s="13">
        <f>SUMIFS(IS!$E$39:$AK$39,IS!$E$6:$AK$6,J$6)</f>
        <v>296.5</v>
      </c>
      <c r="K46" s="13">
        <f>SUMIFS(IS!$E$39:$AK$39,IS!$E$6:$AK$6,K$6)</f>
        <v>359.75</v>
      </c>
      <c r="L46" s="13">
        <f>SUMIFS(IS!$E$39:$AK$39,IS!$E$6:$AK$6,L$6)</f>
        <v>447.81264705882359</v>
      </c>
      <c r="M46" s="13">
        <f>SUMIFS(IS!$E$39:$AK$39,IS!$E$6:$AK$6,M$6)</f>
        <v>543.93705882352947</v>
      </c>
      <c r="N46" s="13">
        <f>SUMIFS(IS!$E$39:$AK$39,IS!$E$6:$AK$6,N$6)</f>
        <v>646.86147058823519</v>
      </c>
    </row>
    <row r="47" spans="1:14" x14ac:dyDescent="0.45">
      <c r="A47" s="12" t="s">
        <v>483</v>
      </c>
      <c r="B47" s="58" t="s">
        <v>711</v>
      </c>
      <c r="C47" s="12" t="s">
        <v>70</v>
      </c>
      <c r="G47" s="13">
        <f>SUMIFS(IS!$E$40:$AK$40,IS!$E$6:$AK$6,G$6)</f>
        <v>128</v>
      </c>
      <c r="H47" s="13">
        <f>SUMIFS(IS!$E$40:$AK$40,IS!$E$6:$AK$6,H$6)</f>
        <v>151.25</v>
      </c>
      <c r="I47" s="13">
        <f>SUMIFS(IS!$E$40:$AK$40,IS!$E$6:$AK$6,I$6)</f>
        <v>169.5</v>
      </c>
      <c r="J47" s="13">
        <f>SUMIFS(IS!$E$40:$AK$40,IS!$E$6:$AK$6,J$6)</f>
        <v>211.5</v>
      </c>
      <c r="K47" s="13">
        <f>SUMIFS(IS!$E$40:$AK$40,IS!$E$6:$AK$6,K$6)</f>
        <v>249.375</v>
      </c>
      <c r="L47" s="13">
        <f>SUMIFS(IS!$E$40:$AK$40,IS!$E$6:$AK$6,L$6)</f>
        <v>289</v>
      </c>
      <c r="M47" s="13">
        <f>SUMIFS(IS!$E$40:$AK$40,IS!$E$6:$AK$6,M$6)</f>
        <v>314.5</v>
      </c>
      <c r="N47" s="13">
        <f>SUMIFS(IS!$E$40:$AK$40,IS!$E$6:$AK$6,N$6)</f>
        <v>340</v>
      </c>
    </row>
    <row r="48" spans="1:14" x14ac:dyDescent="0.45">
      <c r="A48" s="12" t="s">
        <v>485</v>
      </c>
      <c r="B48" s="57" t="s">
        <v>712</v>
      </c>
      <c r="C48" s="12" t="s">
        <v>70</v>
      </c>
      <c r="G48" s="13">
        <f>SUMIFS(IS!$E$41:$AK$41,IS!$E$6:$AK$6,G$6)</f>
        <v>207</v>
      </c>
      <c r="H48" s="13">
        <f>SUMIFS(IS!$E$41:$AK$41,IS!$E$6:$AK$6,H$6)</f>
        <v>258</v>
      </c>
      <c r="I48" s="13">
        <f>SUMIFS(IS!$E$41:$AK$41,IS!$E$6:$AK$6,I$6)</f>
        <v>260</v>
      </c>
      <c r="J48" s="13">
        <f>SUMIFS(IS!$E$41:$AK$41,IS!$E$6:$AK$6,J$6)</f>
        <v>277</v>
      </c>
      <c r="K48" s="13">
        <f>SUMIFS(IS!$E$41:$AK$41,IS!$E$6:$AK$6,K$6)</f>
        <v>331.46</v>
      </c>
      <c r="L48" s="13">
        <f>SUMIFS(IS!$E$41:$AK$41,IS!$E$6:$AK$6,L$6)</f>
        <v>384.49359999999996</v>
      </c>
      <c r="M48" s="13">
        <f>SUMIFS(IS!$E$41:$AK$41,IS!$E$6:$AK$6,M$6)</f>
        <v>434.47776799999991</v>
      </c>
      <c r="N48" s="13">
        <f>SUMIFS(IS!$E$41:$AK$41,IS!$E$6:$AK$6,N$6)</f>
        <v>486.61510015999988</v>
      </c>
    </row>
    <row r="49" spans="1:14" x14ac:dyDescent="0.45">
      <c r="A49" s="12" t="s">
        <v>487</v>
      </c>
      <c r="B49" s="57" t="s">
        <v>713</v>
      </c>
      <c r="C49" s="12" t="s">
        <v>70</v>
      </c>
      <c r="G49" s="13">
        <f>SUMIFS(IS!$E$42:$AK$42,IS!$E$6:$AK$6,G$6)</f>
        <v>206</v>
      </c>
      <c r="H49" s="13">
        <f>SUMIFS(IS!$E$42:$AK$42,IS!$E$6:$AK$6,H$6)</f>
        <v>251</v>
      </c>
      <c r="I49" s="13">
        <f>SUMIFS(IS!$E$42:$AK$42,IS!$E$6:$AK$6,I$6)</f>
        <v>229</v>
      </c>
      <c r="J49" s="13">
        <f>SUMIFS(IS!$E$42:$AK$42,IS!$E$6:$AK$6,J$6)</f>
        <v>272</v>
      </c>
      <c r="K49" s="13">
        <f>SUMIFS(IS!$E$42:$AK$42,IS!$E$6:$AK$6,K$6)</f>
        <v>309.11</v>
      </c>
      <c r="L49" s="13">
        <f>SUMIFS(IS!$E$42:$AK$42,IS!$E$6:$AK$6,L$6)</f>
        <v>349.29429999999991</v>
      </c>
      <c r="M49" s="13">
        <f>SUMIFS(IS!$E$42:$AK$42,IS!$E$6:$AK$6,M$6)</f>
        <v>387.71667300000001</v>
      </c>
      <c r="N49" s="13">
        <f>SUMIFS(IS!$E$42:$AK$42,IS!$E$6:$AK$6,N$6)</f>
        <v>426.4883403</v>
      </c>
    </row>
    <row r="50" spans="1:14" x14ac:dyDescent="0.45">
      <c r="A50" s="12" t="s">
        <v>489</v>
      </c>
      <c r="B50" s="3" t="s">
        <v>490</v>
      </c>
      <c r="C50" s="12" t="s">
        <v>70</v>
      </c>
      <c r="G50" s="64">
        <f>SUMIFS(IS!$E$43:$AK$43,IS!$E$6:$AK$6,G$6)</f>
        <v>677</v>
      </c>
      <c r="H50" s="64">
        <f>SUMIFS(IS!$E$43:$AK$43,IS!$E$6:$AK$6,H$6)</f>
        <v>845</v>
      </c>
      <c r="I50" s="64">
        <f>SUMIFS(IS!$E$43:$AK$43,IS!$E$6:$AK$6,I$6)</f>
        <v>898</v>
      </c>
      <c r="J50" s="64">
        <f>SUMIFS(IS!$E$43:$AK$43,IS!$E$6:$AK$6,J$6)</f>
        <v>1057</v>
      </c>
      <c r="K50" s="64">
        <f>SUMIFS(IS!$E$43:$AK$43,IS!$E$6:$AK$6,K$6)</f>
        <v>1249.6949999999999</v>
      </c>
      <c r="L50" s="64">
        <f>SUMIFS(IS!$E$43:$AK$43,IS!$E$6:$AK$6,L$6)</f>
        <v>1470.6005470588234</v>
      </c>
      <c r="M50" s="64">
        <f>SUMIFS(IS!$E$43:$AK$43,IS!$E$6:$AK$6,M$6)</f>
        <v>1680.6314998235296</v>
      </c>
      <c r="N50" s="64">
        <f>SUMIFS(IS!$E$43:$AK$43,IS!$E$6:$AK$6,N$6)</f>
        <v>1899.9649110482351</v>
      </c>
    </row>
    <row r="51" spans="1:14" x14ac:dyDescent="0.45">
      <c r="A51" s="12" t="s">
        <v>491</v>
      </c>
      <c r="B51" s="3" t="s">
        <v>74</v>
      </c>
      <c r="C51" s="12" t="s">
        <v>73</v>
      </c>
      <c r="H51" s="51">
        <f t="shared" ref="H51:N51" si="17">H50/H37</f>
        <v>0.79943235572374649</v>
      </c>
      <c r="I51" s="51">
        <f t="shared" si="17"/>
        <v>0.63373323923782643</v>
      </c>
      <c r="J51" s="51">
        <f t="shared" si="17"/>
        <v>0.5601483836777954</v>
      </c>
      <c r="K51" s="51">
        <f t="shared" si="17"/>
        <v>0.52399395769105517</v>
      </c>
      <c r="L51" s="51">
        <f t="shared" si="17"/>
        <v>0.50895187789459762</v>
      </c>
      <c r="M51" s="51">
        <f t="shared" si="17"/>
        <v>0.49215938404412463</v>
      </c>
      <c r="N51" s="51">
        <f t="shared" si="17"/>
        <v>0.48172418844053005</v>
      </c>
    </row>
    <row r="52" spans="1:14" x14ac:dyDescent="0.45">
      <c r="A52" s="12" t="s">
        <v>413</v>
      </c>
      <c r="B52" s="57" t="s">
        <v>414</v>
      </c>
      <c r="C52" s="12" t="s">
        <v>70</v>
      </c>
      <c r="H52" s="13">
        <f>SUMIFS(Rev_Build!$E$53:$AK$53,Rev_Build!$E$6:$AK$6,H$6)</f>
        <v>-154</v>
      </c>
      <c r="I52" s="13">
        <f>SUMIFS(Rev_Build!$E$53:$AK$53,Rev_Build!$E$6:$AK$6,I$6)</f>
        <v>-145</v>
      </c>
      <c r="J52" s="13">
        <f>SUMIFS(Rev_Build!$E$53:$AK$53,Rev_Build!$E$6:$AK$6,J$6)</f>
        <v>-197</v>
      </c>
      <c r="K52" s="13">
        <f>SUMIFS(Rev_Build!$E$53:$AK$53,Rev_Build!$E$6:$AK$6,K$6)</f>
        <v>-257.7223529411765</v>
      </c>
      <c r="L52" s="13">
        <f>SUMIFS(Rev_Build!$E$53:$AK$53,Rev_Build!$E$6:$AK$6,L$6)</f>
        <v>-253.00000000000003</v>
      </c>
      <c r="M52" s="13">
        <f>SUMIFS(Rev_Build!$E$53:$AK$53,Rev_Build!$E$6:$AK$6,M$6)</f>
        <v>-249.60000000000002</v>
      </c>
      <c r="N52" s="13">
        <f>SUMIFS(Rev_Build!$E$53:$AK$53,Rev_Build!$E$6:$AK$6,N$6)</f>
        <v>-246.2</v>
      </c>
    </row>
    <row r="53" spans="1:14" x14ac:dyDescent="0.45">
      <c r="A53" s="12" t="s">
        <v>462</v>
      </c>
      <c r="B53" s="4" t="s">
        <v>463</v>
      </c>
      <c r="C53" s="12" t="s">
        <v>70</v>
      </c>
      <c r="E53" s="48">
        <f>Hist_A!E22</f>
        <v>-220</v>
      </c>
      <c r="F53" s="48">
        <f>Hist_A!F22</f>
        <v>-228</v>
      </c>
      <c r="G53" s="48">
        <f>SUMIFS(IS!$E$29:$AK$29,IS!$E$6:$AK$6,G$6)</f>
        <v>-384</v>
      </c>
      <c r="H53" s="48">
        <f>SUMIFS(IS!$E$29:$AK$29,IS!$E$6:$AK$6,H$6)</f>
        <v>-287</v>
      </c>
      <c r="I53" s="48">
        <f>SUMIFS(IS!$E$29:$AK$29,IS!$E$6:$AK$6,I$6)</f>
        <v>15</v>
      </c>
      <c r="J53" s="48">
        <f>SUMIFS(IS!$E$29:$AK$29,IS!$E$6:$AK$6,J$6)</f>
        <v>292</v>
      </c>
      <c r="K53" s="48">
        <f>SUMIFS(IS!$E$29:$AK$29,IS!$E$6:$AK$6,K$6)</f>
        <v>575.8612059396437</v>
      </c>
      <c r="L53" s="48">
        <f>SUMIFS(IS!$E$29:$AK$29,IS!$E$6:$AK$6,L$6)</f>
        <v>822.97583625424909</v>
      </c>
      <c r="M53" s="48">
        <f>SUMIFS(IS!$E$29:$AK$29,IS!$E$6:$AK$6,M$6)</f>
        <v>1104.5479757269627</v>
      </c>
      <c r="N53" s="48">
        <f>SUMIFS(IS!$E$29:$AK$29,IS!$E$6:$AK$6,N$6)</f>
        <v>1383.7465821567703</v>
      </c>
    </row>
    <row r="54" spans="1:14" x14ac:dyDescent="0.45">
      <c r="A54" s="12" t="s">
        <v>474</v>
      </c>
      <c r="B54" s="4" t="s">
        <v>475</v>
      </c>
      <c r="C54" s="12" t="s">
        <v>70</v>
      </c>
      <c r="E54" s="48">
        <f>Hist_A!E26</f>
        <v>-248</v>
      </c>
      <c r="F54" s="48">
        <f>Hist_A!F26</f>
        <v>-487</v>
      </c>
      <c r="G54" s="48">
        <f>SUMIFS(IS!$E$35:$AK$35,IS!$E$6:$AK$6,G$6)</f>
        <v>-275</v>
      </c>
      <c r="H54" s="48">
        <f>SUMIFS(IS!$E$35:$AK$35,IS!$E$6:$AK$6,H$6)</f>
        <v>-246</v>
      </c>
      <c r="I54" s="48">
        <f>SUMIFS(IS!$E$35:$AK$35,IS!$E$6:$AK$6,I$6)</f>
        <v>19</v>
      </c>
      <c r="J54" s="48">
        <f>SUMIFS(IS!$E$35:$AK$35,IS!$E$6:$AK$6,J$6)</f>
        <v>342</v>
      </c>
      <c r="K54" s="48">
        <f>SUMIFS(IS!$E$35:$AK$35,IS!$E$6:$AK$6,K$6)</f>
        <v>599.19615608775098</v>
      </c>
      <c r="L54" s="48">
        <f>SUMIFS(IS!$E$35:$AK$35,IS!$E$6:$AK$6,L$6)</f>
        <v>821.05898472328431</v>
      </c>
      <c r="M54" s="48">
        <f>SUMIFS(IS!$E$35:$AK$35,IS!$E$6:$AK$6,M$6)</f>
        <v>1074.7680261128808</v>
      </c>
      <c r="N54" s="48">
        <f>SUMIFS(IS!$E$35:$AK$35,IS!$E$6:$AK$6,N$6)</f>
        <v>1321.6796858933226</v>
      </c>
    </row>
    <row r="55" spans="1:14" x14ac:dyDescent="0.45">
      <c r="A55" s="12" t="s">
        <v>503</v>
      </c>
      <c r="B55" s="57" t="s">
        <v>504</v>
      </c>
      <c r="C55" s="12" t="s">
        <v>70</v>
      </c>
      <c r="E55" s="13">
        <f>Hist_A!E29</f>
        <v>86</v>
      </c>
      <c r="F55" s="13">
        <f>Hist_A!F29</f>
        <v>140</v>
      </c>
      <c r="G55" s="13">
        <f>SUMIFS(IS!$E$51:$AK$51,IS!$E$6:$AK$6,G$6)</f>
        <v>228</v>
      </c>
      <c r="H55" s="13">
        <f>SUMIFS(IS!$E$51:$AK$51,IS!$E$6:$AK$6,H$6)</f>
        <v>277</v>
      </c>
      <c r="I55" s="13">
        <f>SUMIFS(IS!$E$51:$AK$51,IS!$E$6:$AK$6,I$6)</f>
        <v>253</v>
      </c>
      <c r="J55" s="13">
        <f>SUMIFS(IS!$E$51:$AK$51,IS!$E$6:$AK$6,J$6)</f>
        <v>242</v>
      </c>
      <c r="K55" s="13">
        <f>SUMIFS(IS!$E$51:$AK$51,IS!$E$6:$AK$6,K$6)</f>
        <v>233.09416231948524</v>
      </c>
      <c r="L55" s="13">
        <f>SUMIFS(IS!$E$51:$AK$51,IS!$E$6:$AK$6,L$6)</f>
        <v>256.45218761115217</v>
      </c>
      <c r="M55" s="13">
        <f>SUMIFS(IS!$E$51:$AK$51,IS!$E$6:$AK$6,M$6)</f>
        <v>286.85897324390442</v>
      </c>
      <c r="N55" s="13">
        <f>SUMIFS(IS!$E$51:$AK$51,IS!$E$6:$AK$6,N$6)</f>
        <v>312.3274253010095</v>
      </c>
    </row>
    <row r="56" spans="1:14" x14ac:dyDescent="0.45">
      <c r="A56" s="12" t="s">
        <v>501</v>
      </c>
      <c r="B56" s="57" t="s">
        <v>502</v>
      </c>
      <c r="C56" s="12" t="s">
        <v>70</v>
      </c>
      <c r="E56" s="13">
        <f>Hist_A!E28</f>
        <v>27</v>
      </c>
      <c r="F56" s="13">
        <f>Hist_A!F28</f>
        <v>21</v>
      </c>
      <c r="G56" s="13">
        <f>SUMIFS(IS!$E$50:$AK$50,IS!$E$6:$AK$6,G$6)</f>
        <v>24</v>
      </c>
      <c r="H56" s="13">
        <f>SUMIFS(IS!$E$50:$AK$50,IS!$E$6:$AK$6,H$6)</f>
        <v>32</v>
      </c>
      <c r="I56" s="13">
        <f>SUMIFS(IS!$E$50:$AK$50,IS!$E$6:$AK$6,I$6)</f>
        <v>46</v>
      </c>
      <c r="J56" s="13">
        <f>SUMIFS(IS!$E$50:$AK$50,IS!$E$6:$AK$6,J$6)</f>
        <v>64</v>
      </c>
      <c r="K56" s="13">
        <f>SUMIFS(IS!$E$50:$AK$50,IS!$E$6:$AK$6,K$6)</f>
        <v>52.568901994546877</v>
      </c>
      <c r="L56" s="13">
        <f>SUMIFS(IS!$E$50:$AK$50,IS!$E$6:$AK$6,L$6)</f>
        <v>64.440180310799519</v>
      </c>
      <c r="M56" s="13">
        <f>SUMIFS(IS!$E$50:$AK$50,IS!$E$6:$AK$6,M$6)</f>
        <v>71.17300113389031</v>
      </c>
      <c r="N56" s="13">
        <f>SUMIFS(IS!$E$50:$AK$50,IS!$E$6:$AK$6,N$6)</f>
        <v>79.853897756603473</v>
      </c>
    </row>
    <row r="57" spans="1:14" x14ac:dyDescent="0.45">
      <c r="A57" s="12" t="s">
        <v>507</v>
      </c>
      <c r="B57" s="57" t="s">
        <v>714</v>
      </c>
      <c r="C57" s="12" t="s">
        <v>70</v>
      </c>
      <c r="G57" s="13">
        <f>SUMIFS(IS!$E$53:$AK$53,IS!$E$6:$AK$6,G$6)</f>
        <v>17</v>
      </c>
      <c r="H57" s="13">
        <f>SUMIFS(IS!$E$53:$AK$53,IS!$E$6:$AK$6,H$6)</f>
        <v>40</v>
      </c>
      <c r="I57" s="13">
        <f>SUMIFS(IS!$E$53:$AK$53,IS!$E$6:$AK$6,I$6)</f>
        <v>14</v>
      </c>
      <c r="J57" s="13">
        <f>SUMIFS(IS!$E$53:$AK$53,IS!$E$6:$AK$6,J$6)</f>
        <v>23</v>
      </c>
      <c r="K57" s="13">
        <f>SUMIFS(IS!$E$53:$AK$53,IS!$E$6:$AK$6,K$6)</f>
        <v>18</v>
      </c>
      <c r="L57" s="13">
        <f>SUMIFS(IS!$E$53:$AK$53,IS!$E$6:$AK$6,L$6)</f>
        <v>22</v>
      </c>
      <c r="M57" s="13">
        <f>SUMIFS(IS!$E$53:$AK$53,IS!$E$6:$AK$6,M$6)</f>
        <v>22</v>
      </c>
      <c r="N57" s="13">
        <f>SUMIFS(IS!$E$53:$AK$53,IS!$E$6:$AK$6,N$6)</f>
        <v>22</v>
      </c>
    </row>
    <row r="58" spans="1:14" x14ac:dyDescent="0.45">
      <c r="A58" s="12" t="s">
        <v>466</v>
      </c>
      <c r="B58" s="57" t="s">
        <v>467</v>
      </c>
      <c r="C58" s="12" t="s">
        <v>70</v>
      </c>
      <c r="E58" s="13">
        <f>Hist_A!E23</f>
        <v>-12</v>
      </c>
      <c r="F58" s="13">
        <f>Hist_A!F23</f>
        <v>-12</v>
      </c>
      <c r="G58" s="13">
        <f>SUMIFS(IS!$E$31:$AK$31,IS!$E$6:$AK$6,G$6)</f>
        <v>10</v>
      </c>
      <c r="H58" s="13">
        <f>SUMIFS(IS!$E$31:$AK$31,IS!$E$6:$AK$6,H$6)</f>
        <v>37</v>
      </c>
      <c r="I58" s="13">
        <f>SUMIFS(IS!$E$31:$AK$31,IS!$E$6:$AK$6,I$6)</f>
        <v>41</v>
      </c>
      <c r="J58" s="13">
        <f>SUMIFS(IS!$E$31:$AK$31,IS!$E$6:$AK$6,J$6)</f>
        <v>51</v>
      </c>
      <c r="K58" s="13">
        <f>SUMIFS(IS!$E$31:$AK$31,IS!$E$6:$AK$6,K$6)</f>
        <v>46.134747836936214</v>
      </c>
      <c r="L58" s="13">
        <f>SUMIFS(IS!$E$31:$AK$31,IS!$E$6:$AK$6,L$6)</f>
        <v>50.491168770521611</v>
      </c>
      <c r="M58" s="13">
        <f>SUMIFS(IS!$E$31:$AK$31,IS!$E$6:$AK$6,M$6)</f>
        <v>63.678139613125232</v>
      </c>
      <c r="N58" s="13">
        <f>SUMIFS(IS!$E$31:$AK$31,IS!$E$6:$AK$6,N$6)</f>
        <v>84.786402169143656</v>
      </c>
    </row>
    <row r="59" spans="1:14" x14ac:dyDescent="0.45">
      <c r="A59" s="12" t="s">
        <v>468</v>
      </c>
      <c r="B59" s="57" t="s">
        <v>715</v>
      </c>
      <c r="C59" s="12" t="s">
        <v>70</v>
      </c>
      <c r="E59" s="13">
        <f>Hist_A!E60</f>
        <v>-16</v>
      </c>
      <c r="F59" s="13">
        <f>Hist_A!F60</f>
        <v>-250</v>
      </c>
      <c r="G59" s="13">
        <f>SUMIFS(IS!$E$32:$AK$32,IS!$E$6:$AK$6,G$6)</f>
        <v>97</v>
      </c>
      <c r="H59" s="13">
        <f>SUMIFS(IS!$E$32:$AK$32,IS!$E$6:$AK$6,H$6)</f>
        <v>6</v>
      </c>
      <c r="I59" s="13">
        <f>SUMIFS(IS!$E$32:$AK$32,IS!$E$6:$AK$6,I$6)</f>
        <v>-35</v>
      </c>
      <c r="J59" s="13">
        <f>SUMIFS(IS!$E$32:$AK$32,IS!$E$6:$AK$6,J$6)</f>
        <v>3</v>
      </c>
      <c r="K59" s="13">
        <f>SUMIFS(IS!$E$32:$AK$32,IS!$E$6:$AK$6,K$6)</f>
        <v>7</v>
      </c>
      <c r="L59" s="13">
        <f>SUMIFS(IS!$E$32:$AK$32,IS!$E$6:$AK$6,L$6)</f>
        <v>0</v>
      </c>
      <c r="M59" s="13">
        <f>SUMIFS(IS!$E$32:$AK$32,IS!$E$6:$AK$6,M$6)</f>
        <v>0</v>
      </c>
      <c r="N59" s="13">
        <f>SUMIFS(IS!$E$32:$AK$32,IS!$E$6:$AK$6,N$6)</f>
        <v>0</v>
      </c>
    </row>
    <row r="60" spans="1:14" x14ac:dyDescent="0.45">
      <c r="A60" s="12" t="s">
        <v>472</v>
      </c>
      <c r="B60" s="57" t="s">
        <v>716</v>
      </c>
      <c r="C60" s="12" t="s">
        <v>70</v>
      </c>
      <c r="E60" s="13">
        <f>Hist_A!E25</f>
        <v>0</v>
      </c>
      <c r="F60" s="13">
        <f>Hist_A!F25</f>
        <v>-3</v>
      </c>
      <c r="G60" s="13">
        <f>SUMIFS(IS!$E$34:$AK$34,IS!$E$6:$AK$6,G$6)</f>
        <v>-2</v>
      </c>
      <c r="H60" s="13">
        <f>SUMIFS(IS!$E$34:$AK$34,IS!$E$6:$AK$6,H$6)</f>
        <v>2</v>
      </c>
      <c r="I60" s="13">
        <f>SUMIFS(IS!$E$34:$AK$34,IS!$E$6:$AK$6,I$6)</f>
        <v>2</v>
      </c>
      <c r="J60" s="13">
        <f>SUMIFS(IS!$E$34:$AK$34,IS!$E$6:$AK$6,J$6)</f>
        <v>4</v>
      </c>
      <c r="K60" s="13">
        <f>SUMIFS(IS!$E$34:$AK$34,IS!$E$6:$AK$6,K$6)</f>
        <v>29.799797688829003</v>
      </c>
      <c r="L60" s="13">
        <f>SUMIFS(IS!$E$34:$AK$34,IS!$E$6:$AK$6,L$6)</f>
        <v>52.408020301486232</v>
      </c>
      <c r="M60" s="13">
        <f>SUMIFS(IS!$E$34:$AK$34,IS!$E$6:$AK$6,M$6)</f>
        <v>93.458089227207012</v>
      </c>
      <c r="N60" s="13">
        <f>SUMIFS(IS!$E$34:$AK$34,IS!$E$6:$AK$6,N$6)</f>
        <v>146.8532984325914</v>
      </c>
    </row>
    <row r="61" spans="1:14" x14ac:dyDescent="0.45">
      <c r="A61" s="12" t="s">
        <v>509</v>
      </c>
      <c r="B61" s="4" t="s">
        <v>75</v>
      </c>
      <c r="C61" s="12" t="s">
        <v>70</v>
      </c>
      <c r="G61" s="48">
        <f>SUMIFS(IS!$E$54:$AK$54,IS!$E$6:$AK$6,G$6)</f>
        <v>-115</v>
      </c>
      <c r="H61" s="48">
        <f>SUMIFS(IS!$E$54:$AK$54,IS!$E$6:$AK$6,H$6)</f>
        <v>62</v>
      </c>
      <c r="I61" s="48">
        <f>SUMIFS(IS!$E$54:$AK$54,IS!$E$6:$AK$6,I$6)</f>
        <v>373</v>
      </c>
      <c r="J61" s="48">
        <f>SUMIFS(IS!$E$54:$AK$54,IS!$E$6:$AK$6,J$6)</f>
        <v>633</v>
      </c>
      <c r="K61" s="48">
        <f>SUMIFS(IS!$E$54:$AK$54,IS!$E$6:$AK$6,K$6)</f>
        <v>879.52427025367592</v>
      </c>
      <c r="L61" s="48">
        <f>SUMIFS(IS!$E$54:$AK$54,IS!$E$6:$AK$6,L$6)</f>
        <v>1165.8682041762006</v>
      </c>
      <c r="M61" s="48">
        <f>SUMIFS(IS!$E$54:$AK$54,IS!$E$6:$AK$6,M$6)</f>
        <v>1484.5799501047572</v>
      </c>
      <c r="N61" s="48">
        <f>SUMIFS(IS!$E$54:$AK$54,IS!$E$6:$AK$6,N$6)</f>
        <v>1797.9279052143834</v>
      </c>
    </row>
    <row r="62" spans="1:14" x14ac:dyDescent="0.45">
      <c r="A62" s="12" t="s">
        <v>512</v>
      </c>
      <c r="B62" s="3" t="s">
        <v>513</v>
      </c>
      <c r="C62" s="12" t="s">
        <v>73</v>
      </c>
      <c r="H62" s="51">
        <f t="shared" ref="H62:N62" si="18">H61/H37</f>
        <v>5.8656575212866602E-2</v>
      </c>
      <c r="I62" s="51">
        <f t="shared" si="18"/>
        <v>0.26323218066337334</v>
      </c>
      <c r="J62" s="51">
        <f t="shared" si="18"/>
        <v>0.3354531001589825</v>
      </c>
      <c r="K62" s="51">
        <f t="shared" si="18"/>
        <v>0.36878230548698748</v>
      </c>
      <c r="L62" s="51">
        <f t="shared" si="18"/>
        <v>0.40348877407927752</v>
      </c>
      <c r="M62" s="51">
        <f t="shared" si="18"/>
        <v>0.43474726844316236</v>
      </c>
      <c r="N62" s="51">
        <f t="shared" si="18"/>
        <v>0.45585334548949097</v>
      </c>
    </row>
    <row r="63" spans="1:14" x14ac:dyDescent="0.45">
      <c r="A63" s="21"/>
      <c r="B63" s="22" t="s">
        <v>717</v>
      </c>
      <c r="C63" s="21"/>
      <c r="D63" s="21"/>
      <c r="E63" s="21"/>
      <c r="F63" s="21"/>
      <c r="G63" s="21"/>
      <c r="H63" s="21"/>
      <c r="I63" s="21"/>
      <c r="J63" s="21"/>
      <c r="K63" s="21"/>
      <c r="L63" s="21"/>
      <c r="M63" s="21"/>
      <c r="N63" s="21"/>
    </row>
    <row r="64" spans="1:14" x14ac:dyDescent="0.45">
      <c r="A64" s="12" t="s">
        <v>577</v>
      </c>
      <c r="B64" s="4" t="s">
        <v>578</v>
      </c>
      <c r="C64" s="12" t="s">
        <v>70</v>
      </c>
      <c r="E64" s="48">
        <f>Hist_A!E30</f>
        <v>-125</v>
      </c>
      <c r="F64" s="48">
        <f>Hist_A!F30</f>
        <v>2</v>
      </c>
      <c r="G64" s="48">
        <f>SUMIFS(CF!$E$14:$AK$14,CF!$E$6:$AK$6,G$6)</f>
        <v>-156</v>
      </c>
      <c r="H64" s="48">
        <f>SUMIFS(CF!$E$14:$AK$14,CF!$E$6:$AK$6,H$6)</f>
        <v>135</v>
      </c>
      <c r="I64" s="48">
        <f>SUMIFS(CF!$E$14:$AK$14,CF!$E$6:$AK$6,I$6)</f>
        <v>360</v>
      </c>
      <c r="J64" s="48">
        <f>SUMIFS(CF!$E$14:$AK$14,CF!$E$6:$AK$6,J$6)</f>
        <v>661</v>
      </c>
      <c r="K64" s="48">
        <f>SUMIFS(CF!$E$14:$AK$14,CF!$E$6:$AK$6,K$6)</f>
        <v>792.12362043977544</v>
      </c>
      <c r="L64" s="48">
        <f>SUMIFS(CF!$E$14:$AK$14,CF!$E$6:$AK$6,L$6)</f>
        <v>1247.0828613610731</v>
      </c>
      <c r="M64" s="48">
        <f>SUMIFS(CF!$E$14:$AK$14,CF!$E$6:$AK$6,M$6)</f>
        <v>1524.7490653304101</v>
      </c>
      <c r="N64" s="48">
        <f>SUMIFS(CF!$E$14:$AK$14,CF!$E$6:$AK$6,N$6)</f>
        <v>1782.0148346900837</v>
      </c>
    </row>
    <row r="65" spans="1:14" x14ac:dyDescent="0.45">
      <c r="A65" s="12" t="s">
        <v>580</v>
      </c>
      <c r="B65" s="57" t="s">
        <v>651</v>
      </c>
      <c r="C65" s="12" t="s">
        <v>70</v>
      </c>
      <c r="E65" s="13">
        <f>-Hist_A!E31</f>
        <v>-36</v>
      </c>
      <c r="F65" s="13">
        <f>-Hist_A!F31</f>
        <v>-19</v>
      </c>
      <c r="G65" s="13">
        <f>SUMIFS(CF!$E$16:$AK$16,CF!$E$6:$AK$6,G$6)</f>
        <v>-33</v>
      </c>
      <c r="H65" s="13">
        <f>SUMIFS(CF!$E$16:$AK$16,CF!$E$6:$AK$6,H$6)</f>
        <v>-42</v>
      </c>
      <c r="I65" s="13">
        <f>SUMIFS(CF!$E$16:$AK$16,CF!$E$6:$AK$6,I$6)</f>
        <v>-54</v>
      </c>
      <c r="J65" s="13">
        <f>SUMIFS(CF!$E$16:$AK$16,CF!$E$6:$AK$6,J$6)</f>
        <v>-53</v>
      </c>
      <c r="K65" s="13">
        <f>SUMIFS(CF!$E$16:$AK$16,CF!$E$6:$AK$6,K$6)</f>
        <v>-64.680240141625006</v>
      </c>
      <c r="L65" s="13">
        <f>SUMIFS(CF!$E$16:$AK$16,CF!$E$6:$AK$6,L$6)</f>
        <v>-75.84402760364361</v>
      </c>
      <c r="M65" s="13">
        <f>SUMIFS(CF!$E$16:$AK$16,CF!$E$6:$AK$6,M$6)</f>
        <v>-88.433742415708906</v>
      </c>
      <c r="N65" s="13">
        <f>SUMIFS(CF!$E$16:$AK$16,CF!$E$6:$AK$6,N$6)</f>
        <v>-101.1727621257448</v>
      </c>
    </row>
    <row r="66" spans="1:14" x14ac:dyDescent="0.45">
      <c r="A66" s="12" t="s">
        <v>608</v>
      </c>
      <c r="B66" s="4" t="s">
        <v>78</v>
      </c>
      <c r="C66" s="12" t="s">
        <v>70</v>
      </c>
      <c r="E66" s="56">
        <f t="shared" ref="E66:N66" si="19">E64+E65</f>
        <v>-161</v>
      </c>
      <c r="F66" s="56">
        <f t="shared" si="19"/>
        <v>-17</v>
      </c>
      <c r="G66" s="56">
        <f t="shared" si="19"/>
        <v>-189</v>
      </c>
      <c r="H66" s="56">
        <f t="shared" si="19"/>
        <v>93</v>
      </c>
      <c r="I66" s="56">
        <f t="shared" si="19"/>
        <v>306</v>
      </c>
      <c r="J66" s="56">
        <f t="shared" si="19"/>
        <v>608</v>
      </c>
      <c r="K66" s="56">
        <f t="shared" si="19"/>
        <v>727.44338029815049</v>
      </c>
      <c r="L66" s="56">
        <f t="shared" si="19"/>
        <v>1171.2388337574296</v>
      </c>
      <c r="M66" s="56">
        <f t="shared" si="19"/>
        <v>1436.3153229147013</v>
      </c>
      <c r="N66" s="56">
        <f t="shared" si="19"/>
        <v>1680.8420725643389</v>
      </c>
    </row>
    <row r="67" spans="1:14" x14ac:dyDescent="0.45">
      <c r="A67" s="12" t="s">
        <v>611</v>
      </c>
      <c r="B67" s="3" t="s">
        <v>612</v>
      </c>
      <c r="C67" s="12" t="s">
        <v>73</v>
      </c>
      <c r="H67" s="51">
        <f t="shared" ref="H67:N67" si="20">H66/H61</f>
        <v>1.5</v>
      </c>
      <c r="I67" s="51">
        <f t="shared" si="20"/>
        <v>0.82037533512064342</v>
      </c>
      <c r="J67" s="51">
        <f t="shared" si="20"/>
        <v>0.96050552922590837</v>
      </c>
      <c r="K67" s="51">
        <f t="shared" si="20"/>
        <v>0.82708732993614642</v>
      </c>
      <c r="L67" s="51">
        <f t="shared" si="20"/>
        <v>1.0046065494898919</v>
      </c>
      <c r="M67" s="51">
        <f t="shared" si="20"/>
        <v>0.96748937153121983</v>
      </c>
      <c r="N67" s="51">
        <f t="shared" si="20"/>
        <v>0.93487734835725611</v>
      </c>
    </row>
    <row r="68" spans="1:14" x14ac:dyDescent="0.45">
      <c r="A68" s="12" t="s">
        <v>587</v>
      </c>
      <c r="B68" s="57" t="s">
        <v>249</v>
      </c>
      <c r="C68" s="12" t="s">
        <v>70</v>
      </c>
      <c r="E68" s="13">
        <f>-Hist_A!E33</f>
        <v>0</v>
      </c>
      <c r="F68" s="13">
        <f>-Hist_A!F33</f>
        <v>0</v>
      </c>
      <c r="G68" s="13">
        <f>SUMIFS(CF!$E$20:$AK$20,CF!$E$6:$AK$6,G$6)</f>
        <v>0</v>
      </c>
      <c r="H68" s="13">
        <f>SUMIFS(CF!$E$20:$AK$20,CF!$E$6:$AK$6,H$6)</f>
        <v>0</v>
      </c>
      <c r="I68" s="13">
        <f>SUMIFS(CF!$E$20:$AK$20,CF!$E$6:$AK$6,I$6)</f>
        <v>-56</v>
      </c>
      <c r="J68" s="13">
        <f>SUMIFS(CF!$E$20:$AK$20,CF!$E$6:$AK$6,J$6)</f>
        <v>-107</v>
      </c>
      <c r="K68" s="13">
        <f>SUMIFS(CF!$E$20:$AK$20,CF!$E$6:$AK$6,K$6)</f>
        <v>-786</v>
      </c>
      <c r="L68" s="13">
        <f>SUMIFS(CF!$E$20:$AK$20,CF!$E$6:$AK$6,L$6)</f>
        <v>-600</v>
      </c>
      <c r="M68" s="13">
        <f>SUMIFS(CF!$E$20:$AK$20,CF!$E$6:$AK$6,M$6)</f>
        <v>-600</v>
      </c>
      <c r="N68" s="13">
        <f>SUMIFS(CF!$E$20:$AK$20,CF!$E$6:$AK$6,N$6)</f>
        <v>-600</v>
      </c>
    </row>
    <row r="69" spans="1:14" x14ac:dyDescent="0.45">
      <c r="A69" s="12" t="s">
        <v>575</v>
      </c>
      <c r="B69" s="57" t="s">
        <v>718</v>
      </c>
      <c r="C69" s="12" t="s">
        <v>70</v>
      </c>
      <c r="G69" s="13">
        <f>SUMIFS(CF!$E$13:$AK$13,CF!$E$6:$AK$6,G$6)</f>
        <v>-133</v>
      </c>
      <c r="H69" s="13">
        <f>SUMIFS(CF!$E$13:$AK$13,CF!$E$6:$AK$6,H$6)</f>
        <v>72</v>
      </c>
      <c r="I69" s="13">
        <f>SUMIFS(CF!$E$13:$AK$13,CF!$E$6:$AK$6,I$6)</f>
        <v>42</v>
      </c>
      <c r="J69" s="13">
        <f>SUMIFS(CF!$E$13:$AK$13,CF!$E$6:$AK$6,J$6)</f>
        <v>13</v>
      </c>
      <c r="K69" s="13">
        <f>SUMIFS(CF!$E$13:$AK$13,CF!$E$6:$AK$6,K$6)</f>
        <v>-92.735599962007683</v>
      </c>
      <c r="L69" s="13">
        <f>SUMIFS(CF!$E$13:$AK$13,CF!$E$6:$AK$6,L$6)</f>
        <v>105.1315087158371</v>
      </c>
      <c r="M69" s="13">
        <f>SUMIFS(CF!$E$13:$AK$13,CF!$E$6:$AK$6,M$6)</f>
        <v>91.94906483973449</v>
      </c>
      <c r="N69" s="13">
        <f>SUMIFS(CF!$E$13:$AK$13,CF!$E$6:$AK$6,N$6)</f>
        <v>68.15382573914809</v>
      </c>
    </row>
    <row r="70" spans="1:14" x14ac:dyDescent="0.45">
      <c r="A70" s="21"/>
      <c r="B70" s="22" t="s">
        <v>719</v>
      </c>
      <c r="C70" s="21"/>
      <c r="D70" s="21"/>
      <c r="E70" s="21"/>
      <c r="F70" s="21"/>
      <c r="G70" s="21"/>
      <c r="H70" s="21"/>
      <c r="I70" s="21"/>
      <c r="J70" s="21"/>
      <c r="K70" s="21"/>
      <c r="L70" s="21"/>
      <c r="M70" s="21"/>
      <c r="N70" s="21"/>
    </row>
    <row r="71" spans="1:14" x14ac:dyDescent="0.45">
      <c r="A71" s="12" t="s">
        <v>720</v>
      </c>
      <c r="B71" s="4" t="s">
        <v>75</v>
      </c>
      <c r="C71" s="12" t="s">
        <v>70</v>
      </c>
      <c r="G71" s="49">
        <f t="shared" ref="G71:N71" si="21">G61</f>
        <v>-115</v>
      </c>
      <c r="H71" s="49">
        <f t="shared" si="21"/>
        <v>62</v>
      </c>
      <c r="I71" s="49">
        <f t="shared" si="21"/>
        <v>373</v>
      </c>
      <c r="J71" s="49">
        <f t="shared" si="21"/>
        <v>633</v>
      </c>
      <c r="K71" s="49">
        <f t="shared" si="21"/>
        <v>879.52427025367592</v>
      </c>
      <c r="L71" s="49">
        <f t="shared" si="21"/>
        <v>1165.8682041762006</v>
      </c>
      <c r="M71" s="49">
        <f t="shared" si="21"/>
        <v>1484.5799501047572</v>
      </c>
      <c r="N71" s="49">
        <f t="shared" si="21"/>
        <v>1797.9279052143834</v>
      </c>
    </row>
    <row r="72" spans="1:14" x14ac:dyDescent="0.45">
      <c r="A72" s="12" t="s">
        <v>721</v>
      </c>
      <c r="B72" s="57" t="s">
        <v>722</v>
      </c>
      <c r="C72" s="12" t="s">
        <v>70</v>
      </c>
      <c r="G72" s="50">
        <f t="shared" ref="G72:N72" si="22">-G42-G57</f>
        <v>-17</v>
      </c>
      <c r="H72" s="50">
        <f t="shared" si="22"/>
        <v>-40</v>
      </c>
      <c r="I72" s="50">
        <f t="shared" si="22"/>
        <v>-59</v>
      </c>
      <c r="J72" s="50">
        <f t="shared" si="22"/>
        <v>-35</v>
      </c>
      <c r="K72" s="50">
        <f t="shared" si="22"/>
        <v>-18</v>
      </c>
      <c r="L72" s="50">
        <f t="shared" si="22"/>
        <v>-22</v>
      </c>
      <c r="M72" s="50">
        <f t="shared" si="22"/>
        <v>-22</v>
      </c>
      <c r="N72" s="50">
        <f t="shared" si="22"/>
        <v>-22</v>
      </c>
    </row>
    <row r="73" spans="1:14" x14ac:dyDescent="0.45">
      <c r="A73" s="12" t="s">
        <v>723</v>
      </c>
      <c r="B73" s="57" t="s">
        <v>724</v>
      </c>
      <c r="C73" s="12" t="s">
        <v>70</v>
      </c>
      <c r="G73" s="50">
        <f t="shared" ref="G73:N74" si="23">G58</f>
        <v>10</v>
      </c>
      <c r="H73" s="50">
        <f t="shared" si="23"/>
        <v>37</v>
      </c>
      <c r="I73" s="50">
        <f t="shared" si="23"/>
        <v>41</v>
      </c>
      <c r="J73" s="50">
        <f t="shared" si="23"/>
        <v>51</v>
      </c>
      <c r="K73" s="50">
        <f t="shared" si="23"/>
        <v>46.134747836936214</v>
      </c>
      <c r="L73" s="50">
        <f t="shared" si="23"/>
        <v>50.491168770521611</v>
      </c>
      <c r="M73" s="50">
        <f t="shared" si="23"/>
        <v>63.678139613125232</v>
      </c>
      <c r="N73" s="50">
        <f t="shared" si="23"/>
        <v>84.786402169143656</v>
      </c>
    </row>
    <row r="74" spans="1:14" x14ac:dyDescent="0.45">
      <c r="A74" s="12" t="s">
        <v>725</v>
      </c>
      <c r="B74" s="57" t="s">
        <v>726</v>
      </c>
      <c r="C74" s="12" t="s">
        <v>70</v>
      </c>
      <c r="G74" s="50">
        <f t="shared" si="23"/>
        <v>97</v>
      </c>
      <c r="H74" s="50">
        <f t="shared" si="23"/>
        <v>6</v>
      </c>
      <c r="I74" s="50">
        <f t="shared" si="23"/>
        <v>-35</v>
      </c>
      <c r="J74" s="50">
        <f t="shared" si="23"/>
        <v>3</v>
      </c>
      <c r="K74" s="50">
        <f t="shared" si="23"/>
        <v>7</v>
      </c>
      <c r="L74" s="50">
        <f t="shared" si="23"/>
        <v>0</v>
      </c>
      <c r="M74" s="50">
        <f t="shared" si="23"/>
        <v>0</v>
      </c>
      <c r="N74" s="50">
        <f t="shared" si="23"/>
        <v>0</v>
      </c>
    </row>
    <row r="75" spans="1:14" x14ac:dyDescent="0.45">
      <c r="A75" s="12" t="s">
        <v>727</v>
      </c>
      <c r="B75" s="57" t="s">
        <v>728</v>
      </c>
      <c r="C75" s="12" t="s">
        <v>70</v>
      </c>
      <c r="G75" s="50">
        <f t="shared" ref="G75:N75" si="24">-G60</f>
        <v>2</v>
      </c>
      <c r="H75" s="50">
        <f t="shared" si="24"/>
        <v>-2</v>
      </c>
      <c r="I75" s="50">
        <f t="shared" si="24"/>
        <v>-2</v>
      </c>
      <c r="J75" s="50">
        <f t="shared" si="24"/>
        <v>-4</v>
      </c>
      <c r="K75" s="50">
        <f t="shared" si="24"/>
        <v>-29.799797688829003</v>
      </c>
      <c r="L75" s="50">
        <f t="shared" si="24"/>
        <v>-52.408020301486232</v>
      </c>
      <c r="M75" s="50">
        <f t="shared" si="24"/>
        <v>-93.458089227207012</v>
      </c>
      <c r="N75" s="50">
        <f t="shared" si="24"/>
        <v>-146.8532984325914</v>
      </c>
    </row>
    <row r="76" spans="1:14" x14ac:dyDescent="0.45">
      <c r="A76" s="12" t="s">
        <v>729</v>
      </c>
      <c r="B76" s="57" t="s">
        <v>730</v>
      </c>
      <c r="C76" s="12" t="s">
        <v>70</v>
      </c>
      <c r="G76" s="50">
        <f t="shared" ref="G76:N76" si="25">G69</f>
        <v>-133</v>
      </c>
      <c r="H76" s="50">
        <f t="shared" si="25"/>
        <v>72</v>
      </c>
      <c r="I76" s="50">
        <f t="shared" si="25"/>
        <v>42</v>
      </c>
      <c r="J76" s="50">
        <f t="shared" si="25"/>
        <v>13</v>
      </c>
      <c r="K76" s="50">
        <f t="shared" si="25"/>
        <v>-92.735599962007683</v>
      </c>
      <c r="L76" s="50">
        <f t="shared" si="25"/>
        <v>105.1315087158371</v>
      </c>
      <c r="M76" s="50">
        <f t="shared" si="25"/>
        <v>91.94906483973449</v>
      </c>
      <c r="N76" s="50">
        <f t="shared" si="25"/>
        <v>68.15382573914809</v>
      </c>
    </row>
    <row r="77" spans="1:14" x14ac:dyDescent="0.45">
      <c r="A77" s="12" t="s">
        <v>731</v>
      </c>
      <c r="B77" s="58" t="s">
        <v>732</v>
      </c>
      <c r="C77" s="12" t="s">
        <v>70</v>
      </c>
      <c r="G77" s="13">
        <f>SUMIFS(Schedules!$E$31:$AK$31,Schedules!$E$6:$AK$6,G$6)</f>
        <v>-68</v>
      </c>
      <c r="H77" s="13">
        <f>SUMIFS(Schedules!$E$31:$AK$31,Schedules!$E$6:$AK$6,H$6)</f>
        <v>-8</v>
      </c>
      <c r="I77" s="13">
        <f>SUMIFS(Schedules!$E$31:$AK$31,Schedules!$E$6:$AK$6,I$6)</f>
        <v>0</v>
      </c>
      <c r="J77" s="13">
        <f>SUMIFS(Schedules!$E$31:$AK$31,Schedules!$E$6:$AK$6,J$6)</f>
        <v>4</v>
      </c>
      <c r="K77" s="13">
        <f>SUMIFS(Schedules!$E$31:$AK$31,Schedules!$E$6:$AK$6,K$6)</f>
        <v>-92.798593350383641</v>
      </c>
      <c r="L77" s="13">
        <f>SUMIFS(Schedules!$E$31:$AK$31,Schedules!$E$6:$AK$6,L$6)</f>
        <v>41.41598465473146</v>
      </c>
      <c r="M77" s="13">
        <f>SUMIFS(Schedules!$E$31:$AK$31,Schedules!$E$6:$AK$6,M$6)</f>
        <v>27.547826086956547</v>
      </c>
      <c r="N77" s="13">
        <f>SUMIFS(Schedules!$E$31:$AK$31,Schedules!$E$6:$AK$6,N$6)</f>
        <v>2.1043478260869506</v>
      </c>
    </row>
    <row r="78" spans="1:14" x14ac:dyDescent="0.45">
      <c r="A78" s="12" t="s">
        <v>733</v>
      </c>
      <c r="B78" s="57" t="s">
        <v>734</v>
      </c>
      <c r="C78" s="12" t="s">
        <v>70</v>
      </c>
      <c r="G78" s="50">
        <f t="shared" ref="G78:N78" si="26">G65</f>
        <v>-33</v>
      </c>
      <c r="H78" s="50">
        <f t="shared" si="26"/>
        <v>-42</v>
      </c>
      <c r="I78" s="50">
        <f t="shared" si="26"/>
        <v>-54</v>
      </c>
      <c r="J78" s="50">
        <f t="shared" si="26"/>
        <v>-53</v>
      </c>
      <c r="K78" s="50">
        <f t="shared" si="26"/>
        <v>-64.680240141625006</v>
      </c>
      <c r="L78" s="50">
        <f t="shared" si="26"/>
        <v>-75.84402760364361</v>
      </c>
      <c r="M78" s="50">
        <f t="shared" si="26"/>
        <v>-88.433742415708906</v>
      </c>
      <c r="N78" s="50">
        <f t="shared" si="26"/>
        <v>-101.1727621257448</v>
      </c>
    </row>
    <row r="79" spans="1:14" x14ac:dyDescent="0.45">
      <c r="A79" s="12" t="s">
        <v>735</v>
      </c>
      <c r="B79" s="4" t="s">
        <v>736</v>
      </c>
      <c r="C79" s="12" t="s">
        <v>70</v>
      </c>
      <c r="G79" s="56">
        <f t="shared" ref="G79:N79" si="27">G71+G72+G73+G74+G75+G76+G78</f>
        <v>-189</v>
      </c>
      <c r="H79" s="56">
        <f t="shared" si="27"/>
        <v>93</v>
      </c>
      <c r="I79" s="56">
        <f t="shared" si="27"/>
        <v>306</v>
      </c>
      <c r="J79" s="56">
        <f t="shared" si="27"/>
        <v>608</v>
      </c>
      <c r="K79" s="56">
        <f t="shared" si="27"/>
        <v>727.44338029815049</v>
      </c>
      <c r="L79" s="56">
        <f t="shared" si="27"/>
        <v>1171.2388337574296</v>
      </c>
      <c r="M79" s="56">
        <f t="shared" si="27"/>
        <v>1436.3153229147013</v>
      </c>
      <c r="N79" s="56">
        <f t="shared" si="27"/>
        <v>1680.8420725643389</v>
      </c>
    </row>
    <row r="80" spans="1:14" x14ac:dyDescent="0.45">
      <c r="A80" s="12" t="s">
        <v>737</v>
      </c>
      <c r="B80" s="3" t="s">
        <v>738</v>
      </c>
      <c r="C80" s="12" t="s">
        <v>70</v>
      </c>
      <c r="G80" s="60">
        <f t="shared" ref="G80:N80" si="28">ROUND(G79-G66,6)</f>
        <v>0</v>
      </c>
      <c r="H80" s="60">
        <f t="shared" si="28"/>
        <v>0</v>
      </c>
      <c r="I80" s="60">
        <f t="shared" si="28"/>
        <v>0</v>
      </c>
      <c r="J80" s="60">
        <f t="shared" si="28"/>
        <v>0</v>
      </c>
      <c r="K80" s="60">
        <f t="shared" si="28"/>
        <v>0</v>
      </c>
      <c r="L80" s="60">
        <f t="shared" si="28"/>
        <v>0</v>
      </c>
      <c r="M80" s="60">
        <f t="shared" si="28"/>
        <v>0</v>
      </c>
      <c r="N80" s="60">
        <f t="shared" si="28"/>
        <v>0</v>
      </c>
    </row>
    <row r="81" spans="1:14" x14ac:dyDescent="0.45">
      <c r="A81" s="21"/>
      <c r="B81" s="22" t="s">
        <v>739</v>
      </c>
      <c r="C81" s="21"/>
      <c r="D81" s="21"/>
      <c r="E81" s="21"/>
      <c r="F81" s="21"/>
      <c r="G81" s="21"/>
      <c r="H81" s="21"/>
      <c r="I81" s="21"/>
      <c r="J81" s="21"/>
      <c r="K81" s="21"/>
      <c r="L81" s="21"/>
      <c r="M81" s="21"/>
      <c r="N81" s="21"/>
    </row>
    <row r="82" spans="1:14" x14ac:dyDescent="0.45">
      <c r="A82" s="12" t="s">
        <v>521</v>
      </c>
      <c r="B82" s="3" t="s">
        <v>522</v>
      </c>
      <c r="C82" s="12" t="s">
        <v>70</v>
      </c>
      <c r="E82" s="13">
        <f>Hist_A!E38</f>
        <v>582</v>
      </c>
      <c r="F82" s="13">
        <f>SUMIFS(BS!$E$10:$AK$10,BS!$E$6:$AK$6,F$6,BS!$E$7:$AK$7,QuartersPerYear)</f>
        <v>809</v>
      </c>
      <c r="G82" s="13">
        <f>SUMIFS(BS!$E$10:$AK$10,BS!$E$6:$AK$6,G$6,BS!$E$7:$AK$7,QuartersPerYear)</f>
        <v>547</v>
      </c>
      <c r="H82" s="13">
        <f>SUMIFS(BS!$E$10:$AK$10,BS!$E$6:$AK$6,H$6,BS!$E$7:$AK$7,QuartersPerYear)</f>
        <v>605</v>
      </c>
      <c r="I82" s="13">
        <f>SUMIFS(BS!$E$10:$AK$10,BS!$E$6:$AK$6,I$6,BS!$E$7:$AK$7,QuartersPerYear)</f>
        <v>903</v>
      </c>
      <c r="J82" s="13">
        <f>SUMIFS(BS!$E$10:$AK$10,BS!$E$6:$AK$6,J$6,BS!$E$7:$AK$7,QuartersPerYear)</f>
        <v>1353</v>
      </c>
      <c r="K82" s="13">
        <f>SUMIFS(BS!$E$10:$AK$10,BS!$E$6:$AK$6,K$6,BS!$E$7:$AK$7,QuartersPerYear)</f>
        <v>1197.4433802981507</v>
      </c>
      <c r="L82" s="13">
        <f>SUMIFS(BS!$E$10:$AK$10,BS!$E$6:$AK$6,L$6,BS!$E$7:$AK$7,QuartersPerYear)</f>
        <v>1768.6822140555805</v>
      </c>
      <c r="M82" s="13">
        <f>SUMIFS(BS!$E$10:$AK$10,BS!$E$6:$AK$6,M$6,BS!$E$7:$AK$7,QuartersPerYear)</f>
        <v>2604.9975369702815</v>
      </c>
      <c r="N82" s="13">
        <f>SUMIFS(BS!$E$10:$AK$10,BS!$E$6:$AK$6,N$6,BS!$E$7:$AK$7,QuartersPerYear)</f>
        <v>3685.8396095346206</v>
      </c>
    </row>
    <row r="83" spans="1:14" x14ac:dyDescent="0.45">
      <c r="A83" s="12" t="s">
        <v>523</v>
      </c>
      <c r="B83" s="3" t="s">
        <v>524</v>
      </c>
      <c r="C83" s="12" t="s">
        <v>70</v>
      </c>
      <c r="E83" s="13">
        <f>Hist_A!E39</f>
        <v>0</v>
      </c>
      <c r="F83" s="13">
        <f>SUMIFS(BS!$E$11:$AK$11,BS!$E$6:$AK$6,F$6,BS!$E$7:$AK$7,QuartersPerYear)</f>
        <v>457</v>
      </c>
      <c r="G83" s="13">
        <f>SUMIFS(BS!$E$11:$AK$11,BS!$E$6:$AK$6,G$6,BS!$E$7:$AK$7,QuartersPerYear)</f>
        <v>474</v>
      </c>
      <c r="H83" s="13">
        <f>SUMIFS(BS!$E$11:$AK$11,BS!$E$6:$AK$6,H$6,BS!$E$7:$AK$7,QuartersPerYear)</f>
        <v>519</v>
      </c>
      <c r="I83" s="13">
        <f>SUMIFS(BS!$E$11:$AK$11,BS!$E$6:$AK$6,I$6,BS!$E$7:$AK$7,QuartersPerYear)</f>
        <v>514</v>
      </c>
      <c r="J83" s="13">
        <f>SUMIFS(BS!$E$11:$AK$11,BS!$E$6:$AK$6,J$6,BS!$E$7:$AK$7,QuartersPerYear)</f>
        <v>638</v>
      </c>
      <c r="K83" s="13">
        <f>SUMIFS(BS!$E$11:$AK$11,BS!$E$6:$AK$6,K$6,BS!$E$7:$AK$7,QuartersPerYear)</f>
        <v>698</v>
      </c>
      <c r="L83" s="13">
        <f>SUMIFS(BS!$E$11:$AK$11,BS!$E$6:$AK$6,L$6,BS!$E$7:$AK$7,QuartersPerYear)</f>
        <v>698</v>
      </c>
      <c r="M83" s="13">
        <f>SUMIFS(BS!$E$11:$AK$11,BS!$E$6:$AK$6,M$6,BS!$E$7:$AK$7,QuartersPerYear)</f>
        <v>698</v>
      </c>
      <c r="N83" s="13">
        <f>SUMIFS(BS!$E$11:$AK$11,BS!$E$6:$AK$6,N$6,BS!$E$7:$AK$7,QuartersPerYear)</f>
        <v>698</v>
      </c>
    </row>
    <row r="84" spans="1:14" x14ac:dyDescent="0.45">
      <c r="A84" s="12" t="s">
        <v>740</v>
      </c>
      <c r="B84" s="4" t="s">
        <v>741</v>
      </c>
      <c r="C84" s="12" t="s">
        <v>70</v>
      </c>
      <c r="E84" s="49">
        <f t="shared" ref="E84:N84" si="29">E82+E83</f>
        <v>582</v>
      </c>
      <c r="F84" s="49">
        <f t="shared" si="29"/>
        <v>1266</v>
      </c>
      <c r="G84" s="49">
        <f t="shared" si="29"/>
        <v>1021</v>
      </c>
      <c r="H84" s="49">
        <f t="shared" si="29"/>
        <v>1124</v>
      </c>
      <c r="I84" s="49">
        <f t="shared" si="29"/>
        <v>1417</v>
      </c>
      <c r="J84" s="49">
        <f t="shared" si="29"/>
        <v>1991</v>
      </c>
      <c r="K84" s="49">
        <f t="shared" si="29"/>
        <v>1895.4433802981507</v>
      </c>
      <c r="L84" s="49">
        <f t="shared" si="29"/>
        <v>2466.6822140555805</v>
      </c>
      <c r="M84" s="49">
        <f t="shared" si="29"/>
        <v>3302.9975369702815</v>
      </c>
      <c r="N84" s="49">
        <f t="shared" si="29"/>
        <v>4383.8396095346206</v>
      </c>
    </row>
    <row r="85" spans="1:14" x14ac:dyDescent="0.45">
      <c r="A85" s="12" t="s">
        <v>543</v>
      </c>
      <c r="B85" s="3" t="s">
        <v>544</v>
      </c>
      <c r="C85" s="12" t="s">
        <v>70</v>
      </c>
      <c r="E85" s="13">
        <f>Hist_A!E49</f>
        <v>776</v>
      </c>
      <c r="F85" s="13">
        <f>SUMIFS(BS!$E$21:$AK$21,BS!$E$6:$AK$6,F$6,BS!$E$7:$AK$7,QuartersPerYear)</f>
        <v>1735</v>
      </c>
      <c r="G85" s="13">
        <f>SUMIFS(BS!$E$21:$AK$21,BS!$E$6:$AK$6,G$6,BS!$E$7:$AK$7,QuartersPerYear)</f>
        <v>1761</v>
      </c>
      <c r="H85" s="13">
        <f>SUMIFS(BS!$E$21:$AK$21,BS!$E$6:$AK$6,H$6,BS!$E$7:$AK$7,QuartersPerYear)</f>
        <v>1958</v>
      </c>
      <c r="I85" s="13">
        <f>SUMIFS(BS!$E$21:$AK$21,BS!$E$6:$AK$6,I$6,BS!$E$7:$AK$7,QuartersPerYear)</f>
        <v>2408</v>
      </c>
      <c r="J85" s="13">
        <f>SUMIFS(BS!$E$21:$AK$21,BS!$E$6:$AK$6,J$6,BS!$E$7:$AK$7,QuartersPerYear)</f>
        <v>3145</v>
      </c>
      <c r="K85" s="13">
        <f>SUMIFS(BS!$E$21:$AK$21,BS!$E$6:$AK$6,K$6,BS!$E$7:$AK$7,QuartersPerYear)</f>
        <v>3381.0291915116868</v>
      </c>
      <c r="L85" s="13">
        <f>SUMIFS(BS!$E$21:$AK$21,BS!$E$6:$AK$6,L$6,BS!$E$7:$AK$7,QuartersPerYear)</f>
        <v>4051.0809349668452</v>
      </c>
      <c r="M85" s="13">
        <f>SUMIFS(BS!$E$21:$AK$21,BS!$E$6:$AK$6,M$6,BS!$E$7:$AK$7,QuartersPerYear)</f>
        <v>5009.5537906821746</v>
      </c>
      <c r="N85" s="13">
        <f>SUMIFS(BS!$E$21:$AK$21,BS!$E$6:$AK$6,N$6,BS!$E$7:$AK$7,QuartersPerYear)</f>
        <v>6243.6003999194609</v>
      </c>
    </row>
    <row r="86" spans="1:14" x14ac:dyDescent="0.45">
      <c r="A86" s="12" t="s">
        <v>556</v>
      </c>
      <c r="B86" s="3" t="s">
        <v>557</v>
      </c>
      <c r="C86" s="12" t="s">
        <v>70</v>
      </c>
      <c r="E86" s="13">
        <f>Hist_A!E53</f>
        <v>398</v>
      </c>
      <c r="F86" s="13">
        <f>SUMIFS(BS!$E$28:$AK$28,BS!$E$6:$AK$6,F$6,BS!$E$7:$AK$7,QuartersPerYear)</f>
        <v>644</v>
      </c>
      <c r="G86" s="13">
        <f>SUMIFS(BS!$E$28:$AK$28,BS!$E$6:$AK$6,G$6,BS!$E$7:$AK$7,QuartersPerYear)</f>
        <v>663</v>
      </c>
      <c r="H86" s="13">
        <f>SUMIFS(BS!$E$28:$AK$28,BS!$E$6:$AK$6,H$6,BS!$E$7:$AK$7,QuartersPerYear)</f>
        <v>764</v>
      </c>
      <c r="I86" s="13">
        <f>SUMIFS(BS!$E$28:$AK$28,BS!$E$6:$AK$6,I$6,BS!$E$7:$AK$7,QuartersPerYear)</f>
        <v>863</v>
      </c>
      <c r="J86" s="13">
        <f>SUMIFS(BS!$E$28:$AK$28,BS!$E$6:$AK$6,J$6,BS!$E$7:$AK$7,QuartersPerYear)</f>
        <v>1021</v>
      </c>
      <c r="K86" s="13">
        <f>SUMIFS(BS!$E$28:$AK$28,BS!$E$6:$AK$6,K$6,BS!$E$7:$AK$7,QuartersPerYear)</f>
        <v>1192.73887310445</v>
      </c>
      <c r="L86" s="13">
        <f>SUMIFS(BS!$E$28:$AK$28,BS!$E$6:$AK$6,L$6,BS!$E$7:$AK$7,QuartersPerYear)</f>
        <v>1385.2794442251716</v>
      </c>
      <c r="M86" s="13">
        <f>SUMIFS(BS!$E$28:$AK$28,BS!$E$6:$AK$6,M$6,BS!$E$7:$AK$7,QuartersPerYear)</f>
        <v>1582.1253005837159</v>
      </c>
      <c r="N86" s="13">
        <f>SUMIFS(BS!$E$28:$AK$28,BS!$E$6:$AK$6,N$6,BS!$E$7:$AK$7,QuartersPerYear)</f>
        <v>1782.1647986266703</v>
      </c>
    </row>
    <row r="87" spans="1:14" x14ac:dyDescent="0.45">
      <c r="A87" s="12" t="s">
        <v>742</v>
      </c>
      <c r="B87" s="3" t="s">
        <v>743</v>
      </c>
      <c r="C87" s="12" t="s">
        <v>70</v>
      </c>
      <c r="E87" s="13">
        <f>Hist_A!E54</f>
        <v>849</v>
      </c>
    </row>
    <row r="88" spans="1:14" x14ac:dyDescent="0.45">
      <c r="A88" s="12" t="s">
        <v>558</v>
      </c>
      <c r="B88" s="3" t="s">
        <v>678</v>
      </c>
      <c r="C88" s="12" t="s">
        <v>70</v>
      </c>
      <c r="E88" s="13">
        <f>Hist_A!E55</f>
        <v>-471</v>
      </c>
      <c r="F88" s="13">
        <f>SUMIFS(BS!$E$29:$AK$29,BS!$E$6:$AK$6,F$6,BS!$E$7:$AK$7,QuartersPerYear)</f>
        <v>1091</v>
      </c>
      <c r="G88" s="13">
        <f>SUMIFS(BS!$E$29:$AK$29,BS!$E$6:$AK$6,G$6,BS!$E$7:$AK$7,QuartersPerYear)</f>
        <v>1098</v>
      </c>
      <c r="H88" s="13">
        <f>SUMIFS(BS!$E$29:$AK$29,BS!$E$6:$AK$6,H$6,BS!$E$7:$AK$7,QuartersPerYear)</f>
        <v>1194</v>
      </c>
      <c r="I88" s="13">
        <f>SUMIFS(BS!$E$29:$AK$29,BS!$E$6:$AK$6,I$6,BS!$E$7:$AK$7,QuartersPerYear)</f>
        <v>1545</v>
      </c>
      <c r="J88" s="13">
        <f>SUMIFS(BS!$E$29:$AK$29,BS!$E$6:$AK$6,J$6,BS!$E$7:$AK$7,QuartersPerYear)</f>
        <v>2124</v>
      </c>
      <c r="K88" s="13">
        <f>SUMIFS(BS!$E$29:$AK$29,BS!$E$6:$AK$6,K$6,BS!$E$7:$AK$7,QuartersPerYear)</f>
        <v>2188.2903184072361</v>
      </c>
      <c r="L88" s="13">
        <f>SUMIFS(BS!$E$29:$AK$29,BS!$E$6:$AK$6,L$6,BS!$E$7:$AK$7,QuartersPerYear)</f>
        <v>2665.8014907416728</v>
      </c>
      <c r="M88" s="13">
        <f>SUMIFS(BS!$E$29:$AK$29,BS!$E$6:$AK$6,M$6,BS!$E$7:$AK$7,QuartersPerYear)</f>
        <v>3427.4284900984576</v>
      </c>
      <c r="N88" s="13">
        <f>SUMIFS(BS!$E$29:$AK$29,BS!$E$6:$AK$6,N$6,BS!$E$7:$AK$7,QuartersPerYear)</f>
        <v>4461.4356012927892</v>
      </c>
    </row>
    <row r="89" spans="1:14" x14ac:dyDescent="0.45">
      <c r="A89" s="12" t="s">
        <v>562</v>
      </c>
      <c r="B89" s="3" t="s">
        <v>744</v>
      </c>
      <c r="C89" s="12" t="s">
        <v>70</v>
      </c>
      <c r="E89" s="60">
        <f t="shared" ref="E89:N89" si="30">ROUND(E85-E86-E87-E88,6)</f>
        <v>0</v>
      </c>
      <c r="F89" s="60">
        <f t="shared" si="30"/>
        <v>0</v>
      </c>
      <c r="G89" s="60">
        <f t="shared" si="30"/>
        <v>0</v>
      </c>
      <c r="H89" s="60">
        <f t="shared" si="30"/>
        <v>0</v>
      </c>
      <c r="I89" s="60">
        <f t="shared" si="30"/>
        <v>0</v>
      </c>
      <c r="J89" s="60">
        <f t="shared" si="30"/>
        <v>0</v>
      </c>
      <c r="K89" s="60">
        <f t="shared" si="30"/>
        <v>0</v>
      </c>
      <c r="L89" s="60">
        <f t="shared" si="30"/>
        <v>0</v>
      </c>
      <c r="M89" s="60">
        <f t="shared" si="30"/>
        <v>0</v>
      </c>
      <c r="N89" s="60">
        <f t="shared" si="30"/>
        <v>0</v>
      </c>
    </row>
    <row r="90" spans="1:14" x14ac:dyDescent="0.45">
      <c r="A90" s="21"/>
      <c r="B90" s="22" t="s">
        <v>745</v>
      </c>
      <c r="C90" s="21"/>
      <c r="D90" s="21"/>
      <c r="E90" s="21"/>
      <c r="F90" s="21"/>
      <c r="G90" s="21"/>
      <c r="H90" s="21"/>
      <c r="I90" s="21"/>
      <c r="J90" s="21"/>
      <c r="K90" s="21"/>
      <c r="L90" s="21"/>
      <c r="M90" s="21"/>
      <c r="N90" s="21"/>
    </row>
    <row r="91" spans="1:14" x14ac:dyDescent="0.45">
      <c r="A91" s="12" t="s">
        <v>746</v>
      </c>
      <c r="B91" s="3" t="s">
        <v>747</v>
      </c>
      <c r="C91" s="12" t="s">
        <v>70</v>
      </c>
      <c r="G91" s="14">
        <f>G26-Hist_A!G11</f>
        <v>-1</v>
      </c>
      <c r="H91" s="14">
        <f>H26-Hist_A!H11</f>
        <v>0</v>
      </c>
      <c r="I91" s="14">
        <f>I26-Hist_A!I11</f>
        <v>0</v>
      </c>
      <c r="J91" s="14">
        <f>J26-Hist_A!J11</f>
        <v>0</v>
      </c>
    </row>
    <row r="92" spans="1:14" x14ac:dyDescent="0.45">
      <c r="A92" s="12" t="s">
        <v>748</v>
      </c>
      <c r="B92" s="3" t="s">
        <v>749</v>
      </c>
      <c r="C92" s="12" t="s">
        <v>70</v>
      </c>
      <c r="G92" s="14">
        <f>G53-Hist_A!G22</f>
        <v>0</v>
      </c>
      <c r="H92" s="14">
        <f>H53-Hist_A!H22</f>
        <v>0</v>
      </c>
      <c r="I92" s="14">
        <f>I53-Hist_A!I22</f>
        <v>-1</v>
      </c>
      <c r="J92" s="14">
        <f>J53-Hist_A!J22</f>
        <v>0</v>
      </c>
    </row>
    <row r="93" spans="1:14" x14ac:dyDescent="0.45">
      <c r="A93" s="12" t="s">
        <v>750</v>
      </c>
      <c r="B93" s="3" t="s">
        <v>751</v>
      </c>
      <c r="C93" s="12" t="s">
        <v>70</v>
      </c>
      <c r="G93" s="14">
        <f>G54-Hist_A!G26</f>
        <v>0</v>
      </c>
      <c r="H93" s="14">
        <f>H54-Hist_A!H26</f>
        <v>0</v>
      </c>
      <c r="I93" s="14">
        <f>I54-Hist_A!I26</f>
        <v>0</v>
      </c>
      <c r="J93" s="14">
        <f>J54-Hist_A!J26</f>
        <v>0</v>
      </c>
    </row>
    <row r="94" spans="1:14" x14ac:dyDescent="0.45">
      <c r="A94" s="12" t="s">
        <v>752</v>
      </c>
      <c r="B94" s="3" t="s">
        <v>753</v>
      </c>
      <c r="C94" s="12" t="s">
        <v>70</v>
      </c>
      <c r="G94" s="14">
        <f>G64-Hist_A!G30</f>
        <v>0</v>
      </c>
      <c r="H94" s="14">
        <f>H64-Hist_A!H30</f>
        <v>0</v>
      </c>
      <c r="I94" s="14">
        <f>I64-Hist_A!I30</f>
        <v>0</v>
      </c>
      <c r="J94" s="14">
        <f>J64-Hist_A!J30</f>
        <v>0</v>
      </c>
    </row>
  </sheetData>
  <pageMargins left="0.75" right="0.75" top="1" bottom="1" header="0.5" footer="0.5"/>
  <pageSetup fitToHeight="0"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K28"/>
  <sheetViews>
    <sheetView showGridLines="0" zoomScale="90" workbookViewId="0">
      <pane xSplit="4" ySplit="4" topLeftCell="E5" activePane="bottomRight" state="frozen"/>
      <selection pane="topRight"/>
      <selection pane="bottomLeft"/>
      <selection pane="bottomRight"/>
    </sheetView>
  </sheetViews>
  <sheetFormatPr defaultRowHeight="14.25" x14ac:dyDescent="0.45"/>
  <cols>
    <col min="1" max="1" width="13" customWidth="1"/>
    <col min="2" max="2" width="50" customWidth="1"/>
    <col min="3" max="3" width="11" customWidth="1"/>
    <col min="4" max="4" width="3" customWidth="1"/>
    <col min="5" max="11" width="12" customWidth="1"/>
  </cols>
  <sheetData>
    <row r="1" spans="1:11" ht="18" x14ac:dyDescent="0.55000000000000004">
      <c r="A1" s="1" t="s">
        <v>754</v>
      </c>
    </row>
    <row r="2" spans="1:11" x14ac:dyDescent="0.45">
      <c r="A2" s="2" t="s">
        <v>755</v>
      </c>
    </row>
    <row r="4" spans="1:11" x14ac:dyDescent="0.45">
      <c r="B4" s="4" t="s">
        <v>97</v>
      </c>
      <c r="C4" s="12"/>
      <c r="E4" s="65" t="str">
        <f>Annual!H4</f>
        <v>FY2023A</v>
      </c>
      <c r="F4" s="65" t="str">
        <f>Annual!I4</f>
        <v>FY2024A</v>
      </c>
      <c r="G4" s="65" t="str">
        <f>Annual!J4</f>
        <v>FY2025A</v>
      </c>
      <c r="H4" s="66" t="str">
        <f>Annual!K4</f>
        <v>FY2026E</v>
      </c>
      <c r="I4" s="66" t="str">
        <f>Annual!L4</f>
        <v>FY2027E</v>
      </c>
      <c r="J4" s="66" t="str">
        <f>Annual!M4</f>
        <v>FY2028E</v>
      </c>
      <c r="K4" s="66" t="str">
        <f>Annual!N4</f>
        <v>FY2029E</v>
      </c>
    </row>
    <row r="5" spans="1:11" x14ac:dyDescent="0.45">
      <c r="A5" s="21"/>
      <c r="B5" s="22" t="s">
        <v>756</v>
      </c>
      <c r="C5" s="21"/>
      <c r="D5" s="21"/>
      <c r="E5" s="21"/>
      <c r="F5" s="21"/>
      <c r="G5" s="21"/>
      <c r="H5" s="21"/>
      <c r="I5" s="21"/>
      <c r="J5" s="21"/>
      <c r="K5" s="21"/>
    </row>
    <row r="6" spans="1:11" x14ac:dyDescent="0.45">
      <c r="A6" s="12" t="s">
        <v>340</v>
      </c>
      <c r="B6" s="3" t="s">
        <v>757</v>
      </c>
      <c r="C6" s="12" t="s">
        <v>65</v>
      </c>
      <c r="E6" s="13">
        <f>Annual!H10</f>
        <v>92375</v>
      </c>
      <c r="F6" s="13">
        <f>Annual!I10</f>
        <v>119750</v>
      </c>
      <c r="G6" s="13">
        <f>Annual!J10</f>
        <v>148250</v>
      </c>
      <c r="H6" s="13">
        <f>Annual!K10</f>
        <v>179875</v>
      </c>
      <c r="I6" s="13">
        <f>Annual!L10</f>
        <v>213244.11764705883</v>
      </c>
      <c r="J6" s="13">
        <f>Annual!M10</f>
        <v>247244.11764705883</v>
      </c>
      <c r="K6" s="13">
        <f>Annual!N10</f>
        <v>281244.1176470588</v>
      </c>
    </row>
    <row r="7" spans="1:11" x14ac:dyDescent="0.45">
      <c r="A7" s="12" t="s">
        <v>758</v>
      </c>
      <c r="B7" s="4" t="s">
        <v>759</v>
      </c>
      <c r="C7" s="12" t="s">
        <v>193</v>
      </c>
      <c r="E7" s="67">
        <f>Annual!H37/E6*Thousand</f>
        <v>11.442489851150203</v>
      </c>
      <c r="F7" s="67">
        <f>Annual!I37/F6*Thousand</f>
        <v>11.832985386221294</v>
      </c>
      <c r="G7" s="67">
        <f>Annual!J37/G6*Thousand</f>
        <v>12.728499156829681</v>
      </c>
      <c r="H7" s="67">
        <f>Annual!K37/H6*Thousand</f>
        <v>13.258883242222947</v>
      </c>
      <c r="I7" s="67">
        <f>Annual!L37/I6*Thousand</f>
        <v>13.550051382975989</v>
      </c>
      <c r="J7" s="67">
        <f>Annual!M37/J6*Thousand</f>
        <v>13.811497245822983</v>
      </c>
      <c r="K7" s="67">
        <f>Annual!N37/K6*Thousand</f>
        <v>14.023734431353239</v>
      </c>
    </row>
    <row r="8" spans="1:11" x14ac:dyDescent="0.45">
      <c r="A8" s="12" t="s">
        <v>760</v>
      </c>
      <c r="B8" s="3" t="s">
        <v>761</v>
      </c>
      <c r="C8" s="12" t="s">
        <v>347</v>
      </c>
      <c r="E8" s="50">
        <f t="shared" ref="E8:K8" si="0">E7*Thousand/(MonthsPerQuarter*QuartersPerYear)</f>
        <v>953.54082092918361</v>
      </c>
      <c r="F8" s="50">
        <f t="shared" si="0"/>
        <v>986.08211551844113</v>
      </c>
      <c r="G8" s="50">
        <f t="shared" si="0"/>
        <v>1060.70826306914</v>
      </c>
      <c r="H8" s="50">
        <f t="shared" si="0"/>
        <v>1104.9069368519122</v>
      </c>
      <c r="I8" s="50">
        <f t="shared" si="0"/>
        <v>1129.1709485813324</v>
      </c>
      <c r="J8" s="50">
        <f t="shared" si="0"/>
        <v>1150.9581038185818</v>
      </c>
      <c r="K8" s="50">
        <f t="shared" si="0"/>
        <v>1168.6445359461034</v>
      </c>
    </row>
    <row r="9" spans="1:11" x14ac:dyDescent="0.45">
      <c r="A9" s="21"/>
      <c r="B9" s="22" t="s">
        <v>762</v>
      </c>
      <c r="C9" s="21"/>
      <c r="D9" s="21"/>
      <c r="E9" s="21"/>
      <c r="F9" s="21"/>
      <c r="G9" s="21"/>
      <c r="H9" s="21"/>
      <c r="I9" s="21"/>
      <c r="J9" s="21"/>
      <c r="K9" s="21"/>
    </row>
    <row r="10" spans="1:11" x14ac:dyDescent="0.45">
      <c r="A10" s="12" t="s">
        <v>339</v>
      </c>
      <c r="B10" s="3" t="s">
        <v>66</v>
      </c>
      <c r="C10" s="12" t="s">
        <v>65</v>
      </c>
      <c r="E10" s="13">
        <f>Annual!H9</f>
        <v>27000</v>
      </c>
      <c r="F10" s="13">
        <f>Annual!I9</f>
        <v>28000</v>
      </c>
      <c r="G10" s="13">
        <f>Annual!J9</f>
        <v>30000</v>
      </c>
      <c r="H10" s="13">
        <f>Annual!K9</f>
        <v>32694.117647058825</v>
      </c>
      <c r="I10" s="13">
        <f>Annual!L9</f>
        <v>34000</v>
      </c>
      <c r="J10" s="13">
        <f>Annual!M9</f>
        <v>34000</v>
      </c>
      <c r="K10" s="13">
        <f>Annual!N9</f>
        <v>34000</v>
      </c>
    </row>
    <row r="11" spans="1:11" x14ac:dyDescent="0.45">
      <c r="A11" s="12" t="s">
        <v>763</v>
      </c>
      <c r="B11" s="3" t="s">
        <v>764</v>
      </c>
      <c r="C11" s="12" t="s">
        <v>193</v>
      </c>
      <c r="E11" s="14">
        <f>Annual!H47/E10*Thousand</f>
        <v>5.6018518518518521</v>
      </c>
      <c r="F11" s="14">
        <f>Annual!I47/F10*Thousand</f>
        <v>6.0535714285714288</v>
      </c>
      <c r="G11" s="14">
        <f>Annual!J47/G10*Thousand</f>
        <v>7.05</v>
      </c>
      <c r="H11" s="14">
        <f>Annual!K47/H10*Thousand</f>
        <v>7.6275188916876564</v>
      </c>
      <c r="I11" s="14">
        <f>Annual!L47/I10*Thousand</f>
        <v>8.5</v>
      </c>
      <c r="J11" s="14">
        <f>Annual!M47/J10*Thousand</f>
        <v>9.25</v>
      </c>
      <c r="K11" s="14">
        <f>Annual!N47/K10*Thousand</f>
        <v>10</v>
      </c>
    </row>
    <row r="12" spans="1:11" x14ac:dyDescent="0.45">
      <c r="A12" s="12" t="s">
        <v>765</v>
      </c>
      <c r="B12" s="3" t="s">
        <v>766</v>
      </c>
      <c r="C12" s="12" t="s">
        <v>193</v>
      </c>
      <c r="E12" s="14">
        <f>-Annual!H52/E10*Thousand</f>
        <v>5.7037037037037042</v>
      </c>
      <c r="F12" s="14">
        <f>-Annual!I52/F10*Thousand</f>
        <v>5.1785714285714279</v>
      </c>
      <c r="G12" s="14">
        <f>-Annual!J52/G10*Thousand</f>
        <v>6.5666666666666664</v>
      </c>
      <c r="H12" s="14">
        <f>-Annual!K52/H10*Thousand</f>
        <v>7.8828355523569638</v>
      </c>
      <c r="I12" s="14">
        <f>-Annual!L52/I10*Thousand</f>
        <v>7.4411764705882355</v>
      </c>
      <c r="J12" s="14">
        <f>-Annual!M52/J10*Thousand</f>
        <v>7.3411764705882367</v>
      </c>
      <c r="K12" s="14">
        <f>-Annual!N52/K10*Thousand</f>
        <v>7.2411764705882353</v>
      </c>
    </row>
    <row r="13" spans="1:11" x14ac:dyDescent="0.45">
      <c r="A13" s="12" t="s">
        <v>767</v>
      </c>
      <c r="B13" s="4" t="s">
        <v>768</v>
      </c>
      <c r="C13" s="12" t="s">
        <v>193</v>
      </c>
      <c r="E13" s="68">
        <f t="shared" ref="E13:K13" si="1">E11+E12</f>
        <v>11.305555555555557</v>
      </c>
      <c r="F13" s="68">
        <f t="shared" si="1"/>
        <v>11.232142857142858</v>
      </c>
      <c r="G13" s="68">
        <f t="shared" si="1"/>
        <v>13.616666666666667</v>
      </c>
      <c r="H13" s="68">
        <f t="shared" si="1"/>
        <v>15.510354444044619</v>
      </c>
      <c r="I13" s="68">
        <f t="shared" si="1"/>
        <v>15.941176470588236</v>
      </c>
      <c r="J13" s="68">
        <f t="shared" si="1"/>
        <v>16.591176470588238</v>
      </c>
      <c r="K13" s="68">
        <f t="shared" si="1"/>
        <v>17.241176470588236</v>
      </c>
    </row>
    <row r="14" spans="1:11" x14ac:dyDescent="0.45">
      <c r="A14" s="12" t="s">
        <v>769</v>
      </c>
      <c r="B14" s="3" t="s">
        <v>770</v>
      </c>
      <c r="C14" s="12" t="s">
        <v>193</v>
      </c>
      <c r="E14" s="14">
        <f>Annual!H45/E10*Thousand</f>
        <v>12.444444444444443</v>
      </c>
      <c r="F14" s="14">
        <f>Annual!I45/F10*Thousand</f>
        <v>14.607142857142856</v>
      </c>
      <c r="G14" s="14">
        <f>Annual!J45/G10*Thousand</f>
        <v>16.933333333333334</v>
      </c>
      <c r="H14" s="14">
        <f>Annual!K45/H10*Thousand</f>
        <v>18.631027347966892</v>
      </c>
      <c r="I14" s="14">
        <f>Annual!L45/I10*Thousand</f>
        <v>21.67096020761246</v>
      </c>
      <c r="J14" s="14">
        <f>Annual!M45/J10*Thousand</f>
        <v>25.248148788927338</v>
      </c>
      <c r="K14" s="14">
        <f>Annual!N45/K10*Thousand</f>
        <v>29.025337370242205</v>
      </c>
    </row>
    <row r="15" spans="1:11" x14ac:dyDescent="0.45">
      <c r="A15" s="12" t="s">
        <v>771</v>
      </c>
      <c r="B15" s="3" t="s">
        <v>772</v>
      </c>
      <c r="C15" s="12" t="s">
        <v>193</v>
      </c>
      <c r="E15" s="14">
        <f>Annual!H39/E10*Thousand</f>
        <v>14.851851851851853</v>
      </c>
      <c r="F15" s="14">
        <f>Annual!I39/F10*Thousand</f>
        <v>16.821428571428569</v>
      </c>
      <c r="G15" s="14">
        <f>Annual!J39/G10*Thousand</f>
        <v>19.033333333333331</v>
      </c>
      <c r="H15" s="14">
        <f>Annual!K39/H10*Thousand</f>
        <v>20.579929463985643</v>
      </c>
      <c r="I15" s="14">
        <f>Annual!L39/I10*Thousand</f>
        <v>23.80120397791627</v>
      </c>
      <c r="J15" s="14">
        <f>Annual!M39/J10*Thousand</f>
        <v>27.661059842628301</v>
      </c>
      <c r="K15" s="14">
        <f>Annual!N39/K10*Thousand</f>
        <v>31.698157037476367</v>
      </c>
    </row>
    <row r="16" spans="1:11" x14ac:dyDescent="0.45">
      <c r="A16" s="12" t="s">
        <v>773</v>
      </c>
      <c r="B16" s="3" t="s">
        <v>774</v>
      </c>
      <c r="C16" s="12" t="s">
        <v>193</v>
      </c>
      <c r="E16" s="37">
        <f>Annual!H46/E6*Thousand</f>
        <v>2</v>
      </c>
      <c r="F16" s="37">
        <f>Annual!I46/F6*Thousand</f>
        <v>2</v>
      </c>
      <c r="G16" s="37">
        <f>Annual!J46/G6*Thousand</f>
        <v>2</v>
      </c>
      <c r="H16" s="37">
        <f>Annual!K46/H6*Thousand</f>
        <v>2</v>
      </c>
      <c r="I16" s="37">
        <f>Annual!L46/I6*Thousand</f>
        <v>2.1</v>
      </c>
      <c r="J16" s="37">
        <f>Annual!M46/J6*Thousand</f>
        <v>2.2000000000000002</v>
      </c>
      <c r="K16" s="37">
        <f>Annual!N46/K6*Thousand</f>
        <v>2.2999999999999998</v>
      </c>
    </row>
    <row r="17" spans="1:11" x14ac:dyDescent="0.45">
      <c r="A17" s="21"/>
      <c r="B17" s="22" t="s">
        <v>775</v>
      </c>
      <c r="C17" s="21"/>
      <c r="D17" s="21"/>
      <c r="E17" s="21"/>
      <c r="F17" s="21"/>
      <c r="G17" s="21"/>
      <c r="H17" s="21"/>
      <c r="I17" s="21"/>
      <c r="J17" s="21"/>
      <c r="K17" s="21"/>
    </row>
    <row r="18" spans="1:11" x14ac:dyDescent="0.45">
      <c r="A18" s="12" t="s">
        <v>776</v>
      </c>
      <c r="B18" s="4" t="s">
        <v>777</v>
      </c>
      <c r="C18" s="12" t="s">
        <v>778</v>
      </c>
      <c r="E18" s="69">
        <f t="shared" ref="E18:K18" si="2">E13*Thousand/E8</f>
        <v>11.856393882056134</v>
      </c>
      <c r="F18" s="69">
        <f t="shared" si="2"/>
        <v>11.390676983566893</v>
      </c>
      <c r="G18" s="69">
        <f t="shared" si="2"/>
        <v>12.837334393216747</v>
      </c>
      <c r="H18" s="69">
        <f t="shared" si="2"/>
        <v>14.03770211474691</v>
      </c>
      <c r="I18" s="69">
        <f t="shared" si="2"/>
        <v>14.117593523475263</v>
      </c>
      <c r="J18" s="69">
        <f t="shared" si="2"/>
        <v>14.415100267805578</v>
      </c>
      <c r="K18" s="69">
        <f t="shared" si="2"/>
        <v>14.753140018431903</v>
      </c>
    </row>
    <row r="19" spans="1:11" x14ac:dyDescent="0.45">
      <c r="A19" s="12" t="s">
        <v>779</v>
      </c>
      <c r="B19" s="3" t="s">
        <v>780</v>
      </c>
      <c r="C19" s="12" t="s">
        <v>296</v>
      </c>
      <c r="E19" s="70">
        <f t="shared" ref="E19:K19" si="3">E7*PaybackYears/E13</f>
        <v>3.0363363732781865</v>
      </c>
      <c r="F19" s="70">
        <f t="shared" si="3"/>
        <v>3.1604794036330319</v>
      </c>
      <c r="G19" s="70">
        <f t="shared" si="3"/>
        <v>2.8043204996687177</v>
      </c>
      <c r="H19" s="70">
        <f t="shared" si="3"/>
        <v>2.5645222918771879</v>
      </c>
      <c r="I19" s="70">
        <f t="shared" si="3"/>
        <v>2.5500096698589498</v>
      </c>
      <c r="J19" s="70">
        <f t="shared" si="3"/>
        <v>2.4973811719091366</v>
      </c>
      <c r="K19" s="70">
        <f t="shared" si="3"/>
        <v>2.440158498802508</v>
      </c>
    </row>
    <row r="20" spans="1:11" x14ac:dyDescent="0.45">
      <c r="A20" s="12" t="s">
        <v>781</v>
      </c>
      <c r="B20" s="3" t="s">
        <v>782</v>
      </c>
      <c r="C20" s="12" t="s">
        <v>65</v>
      </c>
      <c r="E20" s="50">
        <f t="shared" ref="E20:K20" si="4">SMWhatIf*Thousand/E11</f>
        <v>17851.239669421488</v>
      </c>
      <c r="F20" s="50">
        <f t="shared" si="4"/>
        <v>16519.174041297934</v>
      </c>
      <c r="G20" s="50">
        <f t="shared" si="4"/>
        <v>14184.397163120568</v>
      </c>
      <c r="H20" s="50">
        <f t="shared" si="4"/>
        <v>13110.423116615069</v>
      </c>
      <c r="I20" s="50">
        <f t="shared" si="4"/>
        <v>11764.705882352941</v>
      </c>
      <c r="J20" s="50">
        <f t="shared" si="4"/>
        <v>10810.81081081081</v>
      </c>
      <c r="K20" s="50">
        <f t="shared" si="4"/>
        <v>10000</v>
      </c>
    </row>
    <row r="21" spans="1:11" x14ac:dyDescent="0.45">
      <c r="A21" s="21"/>
      <c r="B21" s="22" t="s">
        <v>783</v>
      </c>
      <c r="C21" s="21"/>
      <c r="D21" s="21"/>
      <c r="E21" s="21"/>
      <c r="F21" s="21"/>
      <c r="G21" s="21"/>
      <c r="H21" s="21"/>
      <c r="I21" s="21"/>
      <c r="J21" s="21"/>
      <c r="K21" s="21"/>
    </row>
    <row r="22" spans="1:11" x14ac:dyDescent="0.45">
      <c r="A22" s="12" t="s">
        <v>784</v>
      </c>
      <c r="B22" s="3" t="s">
        <v>785</v>
      </c>
      <c r="C22" s="12" t="s">
        <v>193</v>
      </c>
      <c r="E22" s="13">
        <f>Annual!H45*Thousand</f>
        <v>336000</v>
      </c>
      <c r="F22" s="13">
        <f>Annual!I45*Thousand</f>
        <v>409000</v>
      </c>
      <c r="G22" s="13">
        <f>Annual!J45*Thousand</f>
        <v>508000</v>
      </c>
      <c r="H22" s="50"/>
      <c r="I22" s="50"/>
      <c r="J22" s="50"/>
      <c r="K22" s="50"/>
    </row>
    <row r="23" spans="1:11" x14ac:dyDescent="0.45">
      <c r="A23" s="12" t="s">
        <v>786</v>
      </c>
      <c r="B23" s="3" t="s">
        <v>787</v>
      </c>
      <c r="C23" s="12" t="s">
        <v>65</v>
      </c>
      <c r="E23" s="50">
        <f>E6</f>
        <v>92375</v>
      </c>
      <c r="F23" s="50">
        <f>F6</f>
        <v>119750</v>
      </c>
      <c r="G23" s="50">
        <f>G6</f>
        <v>148250</v>
      </c>
      <c r="H23" s="50"/>
      <c r="I23" s="50"/>
      <c r="J23" s="50"/>
      <c r="K23" s="50"/>
    </row>
    <row r="24" spans="1:11" x14ac:dyDescent="0.45">
      <c r="A24" s="12" t="s">
        <v>788</v>
      </c>
      <c r="B24" s="3" t="s">
        <v>789</v>
      </c>
      <c r="C24" s="12" t="s">
        <v>65</v>
      </c>
      <c r="E24" s="50">
        <f>E10</f>
        <v>27000</v>
      </c>
      <c r="F24" s="50">
        <f>F10</f>
        <v>28000</v>
      </c>
      <c r="G24" s="50">
        <f>G10</f>
        <v>30000</v>
      </c>
      <c r="H24" s="50"/>
      <c r="I24" s="50"/>
      <c r="J24" s="50"/>
      <c r="K24" s="50"/>
    </row>
    <row r="25" spans="1:11" x14ac:dyDescent="0.45">
      <c r="A25" s="12" t="s">
        <v>790</v>
      </c>
      <c r="B25" s="3" t="s">
        <v>791</v>
      </c>
      <c r="C25" s="12" t="s">
        <v>193</v>
      </c>
      <c r="E25" s="55">
        <f>INDEX(LINEST($E$22:$G$22,$E$23:$G$24,FALSE),1,2)</f>
        <v>2.9492963617896502</v>
      </c>
      <c r="F25" s="55"/>
      <c r="G25" s="55"/>
      <c r="H25" s="55"/>
      <c r="I25" s="55"/>
      <c r="J25" s="55"/>
      <c r="K25" s="55"/>
    </row>
    <row r="26" spans="1:11" x14ac:dyDescent="0.45">
      <c r="A26" s="12" t="s">
        <v>792</v>
      </c>
      <c r="B26" s="3" t="s">
        <v>793</v>
      </c>
      <c r="C26" s="12" t="s">
        <v>193</v>
      </c>
      <c r="E26" s="55">
        <f>INDEX(LINEST($E$22:$G$22,$E$23:$G$24,FALSE),1,1)</f>
        <v>2.2387484216789137</v>
      </c>
      <c r="F26" s="55"/>
      <c r="G26" s="55"/>
      <c r="H26" s="55"/>
      <c r="I26" s="55"/>
      <c r="J26" s="55"/>
      <c r="K26" s="55"/>
    </row>
    <row r="27" spans="1:11" x14ac:dyDescent="0.45">
      <c r="A27" s="12" t="s">
        <v>794</v>
      </c>
      <c r="B27" s="3" t="s">
        <v>795</v>
      </c>
      <c r="C27" s="12" t="s">
        <v>193</v>
      </c>
      <c r="E27" s="14">
        <f>(Annual!H45-$E$25*E6/Thousand)/E10*Thousand</f>
        <v>2.3540277251733741</v>
      </c>
      <c r="F27" s="14">
        <f>(Annual!I45-$E$25*F6/Thousand)/F10*Thousand</f>
        <v>1.9936343098460501</v>
      </c>
      <c r="G27" s="14">
        <f>(Annual!J45-$E$25*G6/Thousand)/G10*Thousand</f>
        <v>2.3588938121561456</v>
      </c>
      <c r="H27" s="52"/>
      <c r="I27" s="52"/>
      <c r="J27" s="52"/>
      <c r="K27" s="52"/>
    </row>
    <row r="28" spans="1:11" x14ac:dyDescent="0.45">
      <c r="A28" s="12" t="s">
        <v>796</v>
      </c>
      <c r="B28" s="3" t="s">
        <v>797</v>
      </c>
      <c r="C28" s="12" t="s">
        <v>778</v>
      </c>
      <c r="E28" s="52">
        <f>(E27+E12)*Thousand/E8</f>
        <v>8.4503266687892538</v>
      </c>
      <c r="F28" s="52">
        <f>(F27+F12)*Thousand/F8</f>
        <v>7.2734365886421433</v>
      </c>
      <c r="G28" s="52">
        <f>(G27+G12)*Thousand/G8</f>
        <v>8.4147175897327937</v>
      </c>
      <c r="H28" s="52"/>
      <c r="I28" s="52"/>
      <c r="J28" s="52"/>
      <c r="K28" s="52"/>
    </row>
  </sheetData>
  <pageMargins left="0.75" right="0.75" top="1" bottom="1" header="0.5" footer="0.5"/>
  <pageSetup fitToHeight="0"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I24"/>
  <sheetViews>
    <sheetView showGridLines="0" zoomScale="90" workbookViewId="0">
      <pane xSplit="4" ySplit="4" topLeftCell="E5" activePane="bottomRight" state="frozen"/>
      <selection pane="topRight"/>
      <selection pane="bottomLeft"/>
      <selection pane="bottomRight"/>
    </sheetView>
  </sheetViews>
  <sheetFormatPr defaultRowHeight="14.25" x14ac:dyDescent="0.45"/>
  <cols>
    <col min="1" max="1" width="13" customWidth="1"/>
    <col min="2" max="2" width="50" customWidth="1"/>
    <col min="3" max="3" width="11" customWidth="1"/>
    <col min="4" max="4" width="3" customWidth="1"/>
    <col min="5" max="9" width="12" customWidth="1"/>
  </cols>
  <sheetData>
    <row r="1" spans="1:9" ht="18" x14ac:dyDescent="0.55000000000000004">
      <c r="A1" s="1" t="s">
        <v>798</v>
      </c>
    </row>
    <row r="2" spans="1:9" x14ac:dyDescent="0.45">
      <c r="A2" s="2" t="s">
        <v>799</v>
      </c>
    </row>
    <row r="4" spans="1:9" x14ac:dyDescent="0.45">
      <c r="B4" s="4" t="s">
        <v>97</v>
      </c>
      <c r="C4" s="12"/>
      <c r="E4" s="65" t="str">
        <f>Annual!J4</f>
        <v>FY2025A</v>
      </c>
      <c r="F4" s="66" t="str">
        <f>Annual!K4</f>
        <v>FY2026E</v>
      </c>
      <c r="G4" s="66" t="str">
        <f>Annual!L4</f>
        <v>FY2027E</v>
      </c>
      <c r="H4" s="66" t="str">
        <f>Annual!M4</f>
        <v>FY2028E</v>
      </c>
      <c r="I4" s="66" t="str">
        <f>Annual!N4</f>
        <v>FY2029E</v>
      </c>
    </row>
    <row r="5" spans="1:9" x14ac:dyDescent="0.45">
      <c r="A5" s="21"/>
      <c r="B5" s="22" t="s">
        <v>800</v>
      </c>
      <c r="C5" s="21"/>
      <c r="D5" s="21"/>
      <c r="E5" s="21"/>
      <c r="F5" s="21"/>
      <c r="G5" s="21"/>
      <c r="H5" s="21"/>
      <c r="I5" s="21"/>
    </row>
    <row r="6" spans="1:9" x14ac:dyDescent="0.45">
      <c r="A6" s="12" t="s">
        <v>801</v>
      </c>
      <c r="B6" s="3" t="s">
        <v>757</v>
      </c>
      <c r="C6" s="12" t="s">
        <v>65</v>
      </c>
      <c r="E6" s="13">
        <f>Annual!J10</f>
        <v>148250</v>
      </c>
      <c r="F6" s="13">
        <f>Annual!K10</f>
        <v>179875</v>
      </c>
      <c r="G6" s="13">
        <f>Annual!L10</f>
        <v>213244.11764705883</v>
      </c>
      <c r="H6" s="13">
        <f>Annual!M10</f>
        <v>247244.11764705883</v>
      </c>
      <c r="I6" s="13">
        <f>Annual!N10</f>
        <v>281244.1176470588</v>
      </c>
    </row>
    <row r="7" spans="1:9" x14ac:dyDescent="0.45">
      <c r="A7" s="12" t="s">
        <v>802</v>
      </c>
      <c r="B7" s="3" t="s">
        <v>693</v>
      </c>
      <c r="C7" s="12" t="s">
        <v>347</v>
      </c>
      <c r="E7" s="14">
        <f>Annual!J12</f>
        <v>526.13827993254642</v>
      </c>
      <c r="F7" s="14">
        <f>Annual!K12</f>
        <v>550.62331275804274</v>
      </c>
      <c r="G7" s="14">
        <f>Annual!L12</f>
        <v>572.59164080566791</v>
      </c>
      <c r="H7" s="14">
        <f>Annual!M12</f>
        <v>592.57184453194498</v>
      </c>
      <c r="I7" s="14">
        <f>Annual!N12</f>
        <v>610.30174867417986</v>
      </c>
    </row>
    <row r="8" spans="1:9" x14ac:dyDescent="0.45">
      <c r="A8" s="12" t="s">
        <v>803</v>
      </c>
      <c r="B8" s="3" t="s">
        <v>354</v>
      </c>
      <c r="C8" s="12" t="s">
        <v>694</v>
      </c>
      <c r="E8" s="14">
        <f>Annual!J13</f>
        <v>1315.3456998313659</v>
      </c>
      <c r="F8" s="14">
        <f>Annual!K13</f>
        <v>1309.5936242488656</v>
      </c>
      <c r="G8" s="14">
        <f>Annual!L13</f>
        <v>1302.9728739679304</v>
      </c>
      <c r="H8" s="14">
        <f>Annual!M13</f>
        <v>1302.8883943449557</v>
      </c>
      <c r="I8" s="14">
        <f>Annual!N13</f>
        <v>1302.8243404446964</v>
      </c>
    </row>
    <row r="9" spans="1:9" x14ac:dyDescent="0.45">
      <c r="A9" s="12" t="s">
        <v>804</v>
      </c>
      <c r="B9" s="3" t="s">
        <v>805</v>
      </c>
      <c r="C9" s="12" t="s">
        <v>73</v>
      </c>
      <c r="E9" s="71">
        <f>Annual!J14</f>
        <v>2.583076923076923E-2</v>
      </c>
      <c r="F9" s="71">
        <f>Annual!K14</f>
        <v>2.6042750977429828E-2</v>
      </c>
      <c r="G9" s="71">
        <f>Annual!L14</f>
        <v>2.6191726166627443E-2</v>
      </c>
      <c r="H9" s="71">
        <f>Annual!M14</f>
        <v>2.6290664174605807E-2</v>
      </c>
      <c r="I9" s="71">
        <f>Annual!N14</f>
        <v>2.6389858862223285E-2</v>
      </c>
    </row>
    <row r="10" spans="1:9" x14ac:dyDescent="0.45">
      <c r="A10" s="12" t="s">
        <v>350</v>
      </c>
      <c r="B10" s="3" t="s">
        <v>622</v>
      </c>
      <c r="C10" s="12" t="s">
        <v>70</v>
      </c>
      <c r="E10" s="13">
        <f>Annual!J23</f>
        <v>936</v>
      </c>
      <c r="F10" s="13">
        <f>Annual!K23</f>
        <v>1188.5204205882353</v>
      </c>
      <c r="G10" s="13">
        <f>Annual!L23</f>
        <v>1465.2215905882354</v>
      </c>
      <c r="H10" s="13">
        <f>Annual!M23</f>
        <v>1758.1188341254901</v>
      </c>
      <c r="I10" s="13">
        <f>Annual!N23</f>
        <v>2059.7253216519211</v>
      </c>
    </row>
    <row r="11" spans="1:9" x14ac:dyDescent="0.45">
      <c r="A11" s="12" t="s">
        <v>369</v>
      </c>
      <c r="B11" s="3" t="s">
        <v>806</v>
      </c>
      <c r="C11" s="12" t="s">
        <v>70</v>
      </c>
      <c r="E11" s="13">
        <f>Annual!J24</f>
        <v>5037</v>
      </c>
      <c r="F11" s="13">
        <f>Annual!K24</f>
        <v>6134.7125372499995</v>
      </c>
      <c r="G11" s="13">
        <f>Annual!L24</f>
        <v>7277.4051863110117</v>
      </c>
      <c r="H11" s="13">
        <f>Annual!M24</f>
        <v>8469.05086184026</v>
      </c>
      <c r="I11" s="13">
        <f>Annual!N24</f>
        <v>9669.5525754945247</v>
      </c>
    </row>
    <row r="12" spans="1:9" x14ac:dyDescent="0.45">
      <c r="A12" s="12" t="s">
        <v>382</v>
      </c>
      <c r="B12" s="3" t="s">
        <v>807</v>
      </c>
      <c r="C12" s="12" t="s">
        <v>70</v>
      </c>
      <c r="E12" s="13">
        <f>Annual!J25</f>
        <v>180</v>
      </c>
      <c r="F12" s="13">
        <f>Annual!K25</f>
        <v>177.14823529411765</v>
      </c>
      <c r="G12" s="13">
        <f>Annual!L25</f>
        <v>180.2</v>
      </c>
      <c r="H12" s="13">
        <f>Annual!M25</f>
        <v>176.79999999999998</v>
      </c>
      <c r="I12" s="13">
        <f>Annual!N25</f>
        <v>173.4</v>
      </c>
    </row>
    <row r="13" spans="1:9" x14ac:dyDescent="0.45">
      <c r="A13" s="12" t="s">
        <v>384</v>
      </c>
      <c r="B13" s="4" t="s">
        <v>69</v>
      </c>
      <c r="C13" s="12" t="s">
        <v>70</v>
      </c>
      <c r="E13" s="48">
        <f>Annual!J26</f>
        <v>6153</v>
      </c>
      <c r="F13" s="48">
        <f>Annual!K26</f>
        <v>7500.3811931323526</v>
      </c>
      <c r="G13" s="48">
        <f>Annual!L26</f>
        <v>8922.8267768992464</v>
      </c>
      <c r="H13" s="48">
        <f>Annual!M26</f>
        <v>10403.969695965752</v>
      </c>
      <c r="I13" s="48">
        <f>Annual!N26</f>
        <v>11902.677897146446</v>
      </c>
    </row>
    <row r="14" spans="1:9" x14ac:dyDescent="0.45">
      <c r="A14" s="21"/>
      <c r="B14" s="22" t="s">
        <v>808</v>
      </c>
      <c r="C14" s="21"/>
      <c r="D14" s="21"/>
      <c r="E14" s="21"/>
      <c r="F14" s="21"/>
      <c r="G14" s="21"/>
      <c r="H14" s="21"/>
      <c r="I14" s="21"/>
    </row>
    <row r="15" spans="1:9" x14ac:dyDescent="0.45">
      <c r="A15" s="12" t="s">
        <v>809</v>
      </c>
      <c r="B15" s="3" t="s">
        <v>810</v>
      </c>
      <c r="C15" s="12" t="s">
        <v>70</v>
      </c>
      <c r="F15" s="50">
        <f>E13</f>
        <v>6153</v>
      </c>
      <c r="G15" s="50">
        <f>F13</f>
        <v>7500.3811931323526</v>
      </c>
      <c r="H15" s="50">
        <f>G13</f>
        <v>8922.8267768992464</v>
      </c>
      <c r="I15" s="50">
        <f>H13</f>
        <v>10403.969695965752</v>
      </c>
    </row>
    <row r="16" spans="1:9" x14ac:dyDescent="0.45">
      <c r="A16" s="12" t="s">
        <v>811</v>
      </c>
      <c r="B16" s="3" t="s">
        <v>812</v>
      </c>
      <c r="C16" s="12" t="s">
        <v>70</v>
      </c>
      <c r="F16" s="50">
        <f>(F6-E6)*E7*(MonthsPerQuarter*QuartersPerYear)/Mn</f>
        <v>199.66947723440134</v>
      </c>
      <c r="G16" s="50">
        <f>(G6-F6)*F7*(MonthsPerQuarter*QuartersPerYear)/Mn</f>
        <v>220.48576923163671</v>
      </c>
      <c r="H16" s="50">
        <f>(H6-G6)*G7*(MonthsPerQuarter*QuartersPerYear)/Mn</f>
        <v>233.61738944871252</v>
      </c>
      <c r="I16" s="50">
        <f>(I6-H6)*H7*(MonthsPerQuarter*QuartersPerYear)/Mn</f>
        <v>241.76931256903333</v>
      </c>
    </row>
    <row r="17" spans="1:9" x14ac:dyDescent="0.45">
      <c r="A17" s="12" t="s">
        <v>813</v>
      </c>
      <c r="B17" s="3" t="s">
        <v>814</v>
      </c>
      <c r="C17" s="12" t="s">
        <v>70</v>
      </c>
      <c r="F17" s="50">
        <f>F6*(F7-E7)*(MonthsPerQuarter*QuartersPerYear)/Mn</f>
        <v>52.850943353833813</v>
      </c>
      <c r="G17" s="50">
        <f>G6*(G7-F7)*(MonthsPerQuarter*QuartersPerYear)/Mn</f>
        <v>56.215400768363551</v>
      </c>
      <c r="H17" s="50">
        <f>H6*(H7-G7)*(MonthsPerQuarter*QuartersPerYear)/Mn</f>
        <v>59.279854088542209</v>
      </c>
      <c r="I17" s="50">
        <f>I6*(I7-H7)*(MonthsPerQuarter*QuartersPerYear)/Mn</f>
        <v>59.837174957397401</v>
      </c>
    </row>
    <row r="18" spans="1:9" x14ac:dyDescent="0.45">
      <c r="A18" s="12" t="s">
        <v>815</v>
      </c>
      <c r="B18" s="3" t="s">
        <v>816</v>
      </c>
      <c r="C18" s="12" t="s">
        <v>70</v>
      </c>
      <c r="F18" s="50">
        <f>(F6-E6)*E8/Mn*MnPerBn*E9</f>
        <v>1074.5033726812817</v>
      </c>
      <c r="G18" s="50">
        <f>(G6-F6)*F8/Mn*MnPerBn*F9</f>
        <v>1138.0677936699485</v>
      </c>
      <c r="H18" s="50">
        <f>(H6-G6)*G8/Mn*MnPerBn*G9</f>
        <v>1160.3216963953946</v>
      </c>
      <c r="I18" s="50">
        <f>(I6-H6)*H8/Mn*MnPerBn*H9</f>
        <v>1164.6292419122958</v>
      </c>
    </row>
    <row r="19" spans="1:9" x14ac:dyDescent="0.45">
      <c r="A19" s="12" t="s">
        <v>817</v>
      </c>
      <c r="B19" s="3" t="s">
        <v>818</v>
      </c>
      <c r="C19" s="12" t="s">
        <v>70</v>
      </c>
      <c r="F19" s="50">
        <f>F6*(F8-E8)/Mn*MnPerBn*E9</f>
        <v>-26.725924087390261</v>
      </c>
      <c r="G19" s="50">
        <f>G6*(G8-F8)/Mn*MnPerBn*F9</f>
        <v>-36.768094718494233</v>
      </c>
      <c r="H19" s="50">
        <f>H6*(H8-G8)/Mn*MnPerBn*G9</f>
        <v>-0.54706893754687025</v>
      </c>
      <c r="I19" s="50">
        <f>I6*(I8-H8)/Mn*MnPerBn*H9</f>
        <v>-0.47362060109989101</v>
      </c>
    </row>
    <row r="20" spans="1:9" x14ac:dyDescent="0.45">
      <c r="A20" s="12" t="s">
        <v>819</v>
      </c>
      <c r="B20" s="3" t="s">
        <v>820</v>
      </c>
      <c r="C20" s="12" t="s">
        <v>70</v>
      </c>
      <c r="F20" s="50">
        <f>F6*F8/Mn*MnPerBn*(F9-E9)</f>
        <v>49.935088656108832</v>
      </c>
      <c r="G20" s="50">
        <f>G6*G8/Mn*MnPerBn*(G9-F9)</f>
        <v>41.392950109556978</v>
      </c>
      <c r="H20" s="50">
        <f>H6*H8/Mn*MnPerBn*(H9-G9)</f>
        <v>31.871048071401113</v>
      </c>
      <c r="I20" s="50">
        <f>I6*I8/Mn*MnPerBn*(I9-H9)</f>
        <v>36.346092343069998</v>
      </c>
    </row>
    <row r="21" spans="1:9" x14ac:dyDescent="0.45">
      <c r="A21" s="12" t="s">
        <v>821</v>
      </c>
      <c r="B21" s="3" t="s">
        <v>822</v>
      </c>
      <c r="C21" s="12" t="s">
        <v>70</v>
      </c>
      <c r="F21" s="50">
        <f>F12-E12</f>
        <v>-2.8517647058823457</v>
      </c>
      <c r="G21" s="50">
        <f>G12-F12</f>
        <v>3.0517647058823343</v>
      </c>
      <c r="H21" s="50">
        <f>H12-G12</f>
        <v>-3.4000000000000057</v>
      </c>
      <c r="I21" s="50">
        <f>I12-H12</f>
        <v>-3.3999999999999773</v>
      </c>
    </row>
    <row r="22" spans="1:9" x14ac:dyDescent="0.45">
      <c r="A22" s="12" t="s">
        <v>823</v>
      </c>
      <c r="B22" s="4" t="s">
        <v>824</v>
      </c>
      <c r="C22" s="12" t="s">
        <v>70</v>
      </c>
      <c r="F22" s="56">
        <f>SUM(F15:F21)</f>
        <v>7500.3811931323535</v>
      </c>
      <c r="G22" s="56">
        <f>SUM(G15:G21)</f>
        <v>8922.8267768992464</v>
      </c>
      <c r="H22" s="56">
        <f>SUM(H15:H21)</f>
        <v>10403.96969596575</v>
      </c>
      <c r="I22" s="56">
        <f>SUM(I15:I21)</f>
        <v>11902.67789714645</v>
      </c>
    </row>
    <row r="23" spans="1:9" x14ac:dyDescent="0.45">
      <c r="A23" s="12" t="s">
        <v>825</v>
      </c>
      <c r="B23" s="3" t="s">
        <v>826</v>
      </c>
      <c r="C23" s="12" t="s">
        <v>70</v>
      </c>
      <c r="F23" s="60">
        <f>ROUND(F22-F13,6)</f>
        <v>0</v>
      </c>
      <c r="G23" s="60">
        <f>ROUND(G22-G13,6)</f>
        <v>0</v>
      </c>
      <c r="H23" s="60">
        <f>ROUND(H22-H13,6)</f>
        <v>0</v>
      </c>
      <c r="I23" s="60">
        <f>ROUND(I22-I13,6)</f>
        <v>0</v>
      </c>
    </row>
    <row r="24" spans="1:9" x14ac:dyDescent="0.45">
      <c r="A24" s="12" t="s">
        <v>827</v>
      </c>
      <c r="B24" s="3" t="s">
        <v>828</v>
      </c>
      <c r="C24" s="12" t="s">
        <v>73</v>
      </c>
      <c r="F24" s="51">
        <f>(F16+F18)/(F22-F15)</f>
        <v>0.94566619781408867</v>
      </c>
      <c r="G24" s="51">
        <f>(G16+G18)/(G22-G15)</f>
        <v>0.95508297709631129</v>
      </c>
      <c r="H24" s="51">
        <f>(H16+H18)/(H22-H15)</f>
        <v>0.94112395765470258</v>
      </c>
      <c r="I24" s="51">
        <f>(I16+I18)/(I22-I15)</f>
        <v>0.93840719185586208</v>
      </c>
    </row>
  </sheetData>
  <pageMargins left="0.75" right="0.75" top="1" bottom="1" header="0.5" footer="0.5"/>
  <pageSetup fitToHeight="0"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K59"/>
  <sheetViews>
    <sheetView showGridLines="0" zoomScale="90" workbookViewId="0">
      <pane xSplit="3" ySplit="4" topLeftCell="D5" activePane="bottomRight" state="frozen"/>
      <selection pane="topRight"/>
      <selection pane="bottomLeft"/>
      <selection pane="bottomRight"/>
    </sheetView>
  </sheetViews>
  <sheetFormatPr defaultRowHeight="14.25" x14ac:dyDescent="0.45"/>
  <cols>
    <col min="1" max="1" width="13" customWidth="1"/>
    <col min="2" max="2" width="50" customWidth="1"/>
    <col min="3" max="3" width="22" customWidth="1"/>
    <col min="4" max="4" width="3" customWidth="1"/>
    <col min="5" max="11" width="13" customWidth="1"/>
  </cols>
  <sheetData>
    <row r="1" spans="1:11" ht="18" x14ac:dyDescent="0.55000000000000004">
      <c r="A1" s="1" t="s">
        <v>829</v>
      </c>
    </row>
    <row r="2" spans="1:11" x14ac:dyDescent="0.45">
      <c r="A2" s="2" t="s">
        <v>830</v>
      </c>
    </row>
    <row r="4" spans="1:11" x14ac:dyDescent="0.45">
      <c r="A4" s="21"/>
      <c r="B4" s="22" t="s">
        <v>831</v>
      </c>
      <c r="C4" s="21"/>
      <c r="D4" s="21"/>
      <c r="E4" s="21"/>
      <c r="F4" s="21"/>
      <c r="G4" s="21"/>
      <c r="H4" s="21"/>
      <c r="I4" s="21"/>
      <c r="J4" s="21"/>
      <c r="K4" s="21"/>
    </row>
    <row r="5" spans="1:11" ht="30" customHeight="1" x14ac:dyDescent="0.45">
      <c r="B5" s="7" t="s">
        <v>832</v>
      </c>
      <c r="C5" s="7" t="s">
        <v>833</v>
      </c>
      <c r="E5" s="18" t="s">
        <v>834</v>
      </c>
      <c r="F5" s="18" t="s">
        <v>835</v>
      </c>
      <c r="G5" s="18" t="s">
        <v>836</v>
      </c>
      <c r="H5" s="18" t="s">
        <v>837</v>
      </c>
      <c r="I5" s="18" t="s">
        <v>838</v>
      </c>
      <c r="J5" s="18" t="s">
        <v>839</v>
      </c>
    </row>
    <row r="6" spans="1:11" x14ac:dyDescent="0.45">
      <c r="A6" s="12" t="s">
        <v>840</v>
      </c>
      <c r="B6" s="3" t="s">
        <v>841</v>
      </c>
      <c r="C6" s="12" t="s">
        <v>842</v>
      </c>
      <c r="E6" s="50">
        <f>SUMIFS(Src_Val,Src_Key,$A6&amp;"_low",Src_PK,$C6)</f>
        <v>2325</v>
      </c>
      <c r="F6" s="50">
        <f>SUMIFS(Src_Val,Src_Key,$A6&amp;"_high",Src_PK,$C6)</f>
        <v>2355</v>
      </c>
      <c r="G6" s="50">
        <f>AVERAGE(E6:F6)</f>
        <v>2340</v>
      </c>
      <c r="H6" s="13">
        <f>Annual!K37</f>
        <v>2384.9416231948526</v>
      </c>
      <c r="I6" s="50">
        <f>H6-G6</f>
        <v>44.941623194852582</v>
      </c>
      <c r="J6" s="51">
        <f>H6/G6-1</f>
        <v>1.9205821878142126E-2</v>
      </c>
    </row>
    <row r="7" spans="1:11" x14ac:dyDescent="0.45">
      <c r="A7" s="12" t="s">
        <v>843</v>
      </c>
      <c r="B7" s="3" t="s">
        <v>844</v>
      </c>
      <c r="C7" s="12" t="s">
        <v>842</v>
      </c>
      <c r="E7" s="50">
        <f>SUMIFS(Src_Val,Src_Key,$A7&amp;"_low",Src_PK,$C7)</f>
        <v>805</v>
      </c>
      <c r="F7" s="50">
        <f>SUMIFS(Src_Val,Src_Key,$A7&amp;"_high",Src_PK,$C7)</f>
        <v>825</v>
      </c>
      <c r="G7" s="50">
        <f>AVERAGE(E7:F7)</f>
        <v>815</v>
      </c>
      <c r="H7" s="13">
        <f>Annual!K61</f>
        <v>879.52427025367592</v>
      </c>
      <c r="I7" s="50">
        <f>H7-G7</f>
        <v>64.524270253675923</v>
      </c>
      <c r="J7" s="51">
        <f>H7/G7-1</f>
        <v>7.9170883746841669E-2</v>
      </c>
    </row>
    <row r="8" spans="1:11" x14ac:dyDescent="0.45">
      <c r="A8" s="12" t="s">
        <v>840</v>
      </c>
      <c r="B8" s="3" t="s">
        <v>845</v>
      </c>
      <c r="C8" s="12" t="s">
        <v>846</v>
      </c>
      <c r="E8" s="50">
        <f>SUMIFS(Src_Val,Src_Key,$A8&amp;"_low",Src_PK,$C8)</f>
        <v>615</v>
      </c>
      <c r="F8" s="50">
        <f>SUMIFS(Src_Val,Src_Key,$A8&amp;"_high",Src_PK,$C8)</f>
        <v>625</v>
      </c>
      <c r="G8" s="50">
        <f>AVERAGE(E8:F8)</f>
        <v>620</v>
      </c>
      <c r="H8" s="13">
        <f>Rev_Build!X61</f>
        <v>635.77628759191134</v>
      </c>
      <c r="I8" s="50">
        <f>H8-G8</f>
        <v>15.776287591911341</v>
      </c>
      <c r="J8" s="51">
        <f>H8/G8-1</f>
        <v>2.5445625148244E-2</v>
      </c>
    </row>
    <row r="9" spans="1:11" x14ac:dyDescent="0.45">
      <c r="A9" s="12" t="s">
        <v>843</v>
      </c>
      <c r="B9" s="3" t="s">
        <v>847</v>
      </c>
      <c r="C9" s="12" t="s">
        <v>846</v>
      </c>
      <c r="E9" s="50">
        <f>SUMIFS(Src_Val,Src_Key,$A9&amp;"_low",Src_PK,$C9)</f>
        <v>210</v>
      </c>
      <c r="F9" s="50">
        <f>SUMIFS(Src_Val,Src_Key,$A9&amp;"_high",Src_PK,$C9)</f>
        <v>220</v>
      </c>
      <c r="G9" s="50">
        <f>AVERAGE(E9:F9)</f>
        <v>215</v>
      </c>
      <c r="H9" s="13">
        <f>IS!X54</f>
        <v>244.23172876838197</v>
      </c>
      <c r="I9" s="50">
        <f>H9-G9</f>
        <v>29.23172876838197</v>
      </c>
      <c r="J9" s="51">
        <f>H9/G9-1</f>
        <v>0.13596152915526494</v>
      </c>
    </row>
    <row r="10" spans="1:11" x14ac:dyDescent="0.45">
      <c r="B10" s="3" t="s">
        <v>848</v>
      </c>
      <c r="C10" s="12"/>
      <c r="E10" s="13">
        <f>E7-SUM(IS!V54:W54)-E9</f>
        <v>195</v>
      </c>
      <c r="F10" s="13">
        <f>F7-SUM(IS!V54:W54)-F9</f>
        <v>205</v>
      </c>
      <c r="G10" s="50">
        <f>AVERAGE(E10:F10)</f>
        <v>200</v>
      </c>
      <c r="H10" s="13">
        <f>IS!Y54</f>
        <v>235.2925414852939</v>
      </c>
      <c r="I10" s="50">
        <f>H10-G10</f>
        <v>35.292541485293896</v>
      </c>
      <c r="J10" s="51">
        <f>H10/G10-1</f>
        <v>0.17646270742646952</v>
      </c>
    </row>
    <row r="11" spans="1:11" x14ac:dyDescent="0.45">
      <c r="B11" s="3" t="s">
        <v>849</v>
      </c>
      <c r="C11" s="12"/>
      <c r="H11" s="13">
        <f>IS!W54</f>
        <v>221</v>
      </c>
    </row>
    <row r="13" spans="1:11" x14ac:dyDescent="0.45">
      <c r="A13" s="21"/>
      <c r="B13" s="22" t="s">
        <v>850</v>
      </c>
      <c r="C13" s="21"/>
      <c r="D13" s="21"/>
      <c r="E13" s="21"/>
      <c r="F13" s="21"/>
      <c r="G13" s="21"/>
      <c r="H13" s="21"/>
      <c r="I13" s="21"/>
      <c r="J13" s="21"/>
      <c r="K13" s="21"/>
    </row>
    <row r="14" spans="1:11" ht="30" customHeight="1" x14ac:dyDescent="0.45">
      <c r="B14" s="7" t="s">
        <v>851</v>
      </c>
      <c r="C14" s="7" t="s">
        <v>833</v>
      </c>
      <c r="E14" s="18" t="s">
        <v>852</v>
      </c>
      <c r="F14" s="18" t="s">
        <v>853</v>
      </c>
      <c r="G14" s="18" t="s">
        <v>836</v>
      </c>
      <c r="H14" s="18" t="s">
        <v>854</v>
      </c>
      <c r="I14" s="18" t="s">
        <v>855</v>
      </c>
      <c r="J14" s="18" t="s">
        <v>839</v>
      </c>
      <c r="K14" s="18" t="s">
        <v>856</v>
      </c>
    </row>
    <row r="15" spans="1:11" x14ac:dyDescent="0.45">
      <c r="A15" s="12" t="s">
        <v>843</v>
      </c>
      <c r="B15" s="3" t="s">
        <v>857</v>
      </c>
      <c r="C15" s="12" t="s">
        <v>858</v>
      </c>
      <c r="E15" s="50">
        <f t="shared" ref="E15:E25" si="0">SUMIFS(Src_Val,Src_Key,$A15&amp;"_low",Src_PK,$C15)</f>
        <v>200</v>
      </c>
      <c r="F15" s="50">
        <f t="shared" ref="F15:F25" si="1">SUMIFS(Src_Val,Src_Key,$A15&amp;"_high",Src_PK,$C15)</f>
        <v>220</v>
      </c>
      <c r="G15" s="50">
        <f t="shared" ref="G15:G25" si="2">AVERAGE(E15:F15)</f>
        <v>210</v>
      </c>
      <c r="H15" s="13">
        <f>Annual!I61</f>
        <v>373</v>
      </c>
      <c r="I15" s="50">
        <f t="shared" ref="I15:I25" si="3">H15-G15</f>
        <v>163</v>
      </c>
      <c r="J15" s="51">
        <f t="shared" ref="J15:J25" si="4">H15/G15-1</f>
        <v>0.7761904761904761</v>
      </c>
      <c r="K15" s="51">
        <f t="shared" ref="K15:K25" si="5">H15/F15-1</f>
        <v>0.69545454545454555</v>
      </c>
    </row>
    <row r="16" spans="1:11" x14ac:dyDescent="0.45">
      <c r="A16" s="12" t="s">
        <v>843</v>
      </c>
      <c r="B16" s="3" t="s">
        <v>859</v>
      </c>
      <c r="C16" s="12" t="s">
        <v>860</v>
      </c>
      <c r="E16" s="50">
        <f t="shared" si="0"/>
        <v>250</v>
      </c>
      <c r="F16" s="50">
        <f t="shared" si="1"/>
        <v>270</v>
      </c>
      <c r="G16" s="50">
        <f t="shared" si="2"/>
        <v>260</v>
      </c>
      <c r="H16" s="13">
        <f>Annual!I61</f>
        <v>373</v>
      </c>
      <c r="I16" s="50">
        <f t="shared" si="3"/>
        <v>113</v>
      </c>
      <c r="J16" s="51">
        <f t="shared" si="4"/>
        <v>0.43461538461538463</v>
      </c>
      <c r="K16" s="51">
        <f t="shared" si="5"/>
        <v>0.38148148148148153</v>
      </c>
    </row>
    <row r="17" spans="1:11" x14ac:dyDescent="0.45">
      <c r="A17" s="12" t="s">
        <v>843</v>
      </c>
      <c r="B17" s="3" t="s">
        <v>861</v>
      </c>
      <c r="C17" s="12" t="s">
        <v>862</v>
      </c>
      <c r="E17" s="50">
        <f t="shared" si="0"/>
        <v>285</v>
      </c>
      <c r="F17" s="50">
        <f t="shared" si="1"/>
        <v>305</v>
      </c>
      <c r="G17" s="50">
        <f t="shared" si="2"/>
        <v>295</v>
      </c>
      <c r="H17" s="13">
        <f>Annual!I61</f>
        <v>373</v>
      </c>
      <c r="I17" s="50">
        <f t="shared" si="3"/>
        <v>78</v>
      </c>
      <c r="J17" s="51">
        <f t="shared" si="4"/>
        <v>0.264406779661017</v>
      </c>
      <c r="K17" s="51">
        <f t="shared" si="5"/>
        <v>0.22295081967213104</v>
      </c>
    </row>
    <row r="18" spans="1:11" x14ac:dyDescent="0.45">
      <c r="A18" s="12" t="s">
        <v>843</v>
      </c>
      <c r="B18" s="3" t="s">
        <v>863</v>
      </c>
      <c r="C18" s="12" t="s">
        <v>864</v>
      </c>
      <c r="E18" s="50">
        <f t="shared" si="0"/>
        <v>352</v>
      </c>
      <c r="F18" s="50">
        <f t="shared" si="1"/>
        <v>362</v>
      </c>
      <c r="G18" s="50">
        <f t="shared" si="2"/>
        <v>357</v>
      </c>
      <c r="H18" s="13">
        <f>Annual!I61</f>
        <v>373</v>
      </c>
      <c r="I18" s="50">
        <f t="shared" si="3"/>
        <v>16</v>
      </c>
      <c r="J18" s="51">
        <f t="shared" si="4"/>
        <v>4.481792717086841E-2</v>
      </c>
      <c r="K18" s="51">
        <f t="shared" si="5"/>
        <v>3.0386740331491691E-2</v>
      </c>
    </row>
    <row r="19" spans="1:11" x14ac:dyDescent="0.45">
      <c r="A19" s="12" t="s">
        <v>843</v>
      </c>
      <c r="B19" s="3" t="s">
        <v>865</v>
      </c>
      <c r="C19" s="12" t="s">
        <v>866</v>
      </c>
      <c r="E19" s="50">
        <f t="shared" si="0"/>
        <v>510</v>
      </c>
      <c r="F19" s="50">
        <f t="shared" si="1"/>
        <v>530</v>
      </c>
      <c r="G19" s="50">
        <f t="shared" si="2"/>
        <v>520</v>
      </c>
      <c r="H19" s="13">
        <f>Annual!J61</f>
        <v>633</v>
      </c>
      <c r="I19" s="50">
        <f t="shared" si="3"/>
        <v>113</v>
      </c>
      <c r="J19" s="51">
        <f t="shared" si="4"/>
        <v>0.2173076923076922</v>
      </c>
      <c r="K19" s="51">
        <f t="shared" si="5"/>
        <v>0.1943396226415095</v>
      </c>
    </row>
    <row r="20" spans="1:11" x14ac:dyDescent="0.45">
      <c r="A20" s="12" t="s">
        <v>843</v>
      </c>
      <c r="B20" s="3" t="s">
        <v>867</v>
      </c>
      <c r="C20" s="12" t="s">
        <v>868</v>
      </c>
      <c r="E20" s="50">
        <f t="shared" si="0"/>
        <v>540</v>
      </c>
      <c r="F20" s="50">
        <f t="shared" si="1"/>
        <v>560</v>
      </c>
      <c r="G20" s="50">
        <f t="shared" si="2"/>
        <v>550</v>
      </c>
      <c r="H20" s="13">
        <f>Annual!J61</f>
        <v>633</v>
      </c>
      <c r="I20" s="50">
        <f t="shared" si="3"/>
        <v>83</v>
      </c>
      <c r="J20" s="51">
        <f t="shared" si="4"/>
        <v>0.15090909090909088</v>
      </c>
      <c r="K20" s="51">
        <f t="shared" si="5"/>
        <v>0.13035714285714284</v>
      </c>
    </row>
    <row r="21" spans="1:11" x14ac:dyDescent="0.45">
      <c r="A21" s="12" t="s">
        <v>843</v>
      </c>
      <c r="B21" s="3" t="s">
        <v>869</v>
      </c>
      <c r="C21" s="12" t="s">
        <v>870</v>
      </c>
      <c r="E21" s="50">
        <f t="shared" si="0"/>
        <v>565</v>
      </c>
      <c r="F21" s="50">
        <f t="shared" si="1"/>
        <v>585</v>
      </c>
      <c r="G21" s="50">
        <f t="shared" si="2"/>
        <v>575</v>
      </c>
      <c r="H21" s="13">
        <f>Annual!J61</f>
        <v>633</v>
      </c>
      <c r="I21" s="50">
        <f t="shared" si="3"/>
        <v>58</v>
      </c>
      <c r="J21" s="51">
        <f t="shared" si="4"/>
        <v>0.10086956521739121</v>
      </c>
      <c r="K21" s="51">
        <f t="shared" si="5"/>
        <v>8.2051282051281982E-2</v>
      </c>
    </row>
    <row r="22" spans="1:11" x14ac:dyDescent="0.45">
      <c r="A22" s="12" t="s">
        <v>843</v>
      </c>
      <c r="B22" s="3" t="s">
        <v>871</v>
      </c>
      <c r="C22" s="12" t="s">
        <v>872</v>
      </c>
      <c r="E22" s="50">
        <f t="shared" si="0"/>
        <v>610</v>
      </c>
      <c r="F22" s="50">
        <f t="shared" si="1"/>
        <v>620</v>
      </c>
      <c r="G22" s="50">
        <f t="shared" si="2"/>
        <v>615</v>
      </c>
      <c r="H22" s="13">
        <f>Annual!J61</f>
        <v>633</v>
      </c>
      <c r="I22" s="50">
        <f t="shared" si="3"/>
        <v>18</v>
      </c>
      <c r="J22" s="51">
        <f t="shared" si="4"/>
        <v>2.9268292682926855E-2</v>
      </c>
      <c r="K22" s="51">
        <f t="shared" si="5"/>
        <v>2.0967741935483897E-2</v>
      </c>
    </row>
    <row r="23" spans="1:11" x14ac:dyDescent="0.45">
      <c r="A23" s="12" t="s">
        <v>843</v>
      </c>
      <c r="B23" s="3" t="s">
        <v>873</v>
      </c>
      <c r="C23" s="12" t="s">
        <v>874</v>
      </c>
      <c r="E23" s="50">
        <f t="shared" si="0"/>
        <v>775</v>
      </c>
      <c r="F23" s="50">
        <f t="shared" si="1"/>
        <v>795</v>
      </c>
      <c r="G23" s="50">
        <f t="shared" si="2"/>
        <v>785</v>
      </c>
      <c r="H23" s="13">
        <f>Annual!K61</f>
        <v>879.52427025367592</v>
      </c>
      <c r="I23" s="50">
        <f t="shared" si="3"/>
        <v>94.524270253675923</v>
      </c>
      <c r="J23" s="51">
        <f t="shared" si="4"/>
        <v>0.12041308312570176</v>
      </c>
      <c r="K23" s="51">
        <f t="shared" si="5"/>
        <v>0.10631983679707657</v>
      </c>
    </row>
    <row r="24" spans="1:11" x14ac:dyDescent="0.45">
      <c r="A24" s="12" t="s">
        <v>843</v>
      </c>
      <c r="B24" s="3" t="s">
        <v>875</v>
      </c>
      <c r="C24" s="12" t="s">
        <v>876</v>
      </c>
      <c r="E24" s="50">
        <f t="shared" si="0"/>
        <v>790</v>
      </c>
      <c r="F24" s="50">
        <f t="shared" si="1"/>
        <v>810</v>
      </c>
      <c r="G24" s="50">
        <f t="shared" si="2"/>
        <v>800</v>
      </c>
      <c r="H24" s="13">
        <f>Annual!K61</f>
        <v>879.52427025367592</v>
      </c>
      <c r="I24" s="50">
        <f t="shared" si="3"/>
        <v>79.524270253675923</v>
      </c>
      <c r="J24" s="51">
        <f t="shared" si="4"/>
        <v>9.940533781709493E-2</v>
      </c>
      <c r="K24" s="51">
        <f t="shared" si="5"/>
        <v>8.5832432411945492E-2</v>
      </c>
    </row>
    <row r="25" spans="1:11" x14ac:dyDescent="0.45">
      <c r="A25" s="12" t="s">
        <v>843</v>
      </c>
      <c r="B25" s="3" t="s">
        <v>877</v>
      </c>
      <c r="C25" s="12" t="s">
        <v>842</v>
      </c>
      <c r="E25" s="50">
        <f t="shared" si="0"/>
        <v>805</v>
      </c>
      <c r="F25" s="50">
        <f t="shared" si="1"/>
        <v>825</v>
      </c>
      <c r="G25" s="50">
        <f t="shared" si="2"/>
        <v>815</v>
      </c>
      <c r="H25" s="13">
        <f>Annual!K61</f>
        <v>879.52427025367592</v>
      </c>
      <c r="I25" s="50">
        <f t="shared" si="3"/>
        <v>64.524270253675923</v>
      </c>
      <c r="J25" s="51">
        <f t="shared" si="4"/>
        <v>7.9170883746841669E-2</v>
      </c>
      <c r="K25" s="51">
        <f t="shared" si="5"/>
        <v>6.6090024549910309E-2</v>
      </c>
    </row>
    <row r="27" spans="1:11" x14ac:dyDescent="0.45">
      <c r="A27" s="21"/>
      <c r="B27" s="22" t="s">
        <v>878</v>
      </c>
      <c r="C27" s="21"/>
      <c r="D27" s="21"/>
      <c r="E27" s="21"/>
      <c r="F27" s="21"/>
      <c r="G27" s="21"/>
      <c r="H27" s="21"/>
      <c r="I27" s="21"/>
      <c r="J27" s="21"/>
      <c r="K27" s="21"/>
    </row>
    <row r="28" spans="1:11" ht="30" customHeight="1" x14ac:dyDescent="0.45">
      <c r="B28" s="7" t="s">
        <v>879</v>
      </c>
      <c r="C28" s="7" t="s">
        <v>833</v>
      </c>
      <c r="E28" s="18" t="s">
        <v>852</v>
      </c>
      <c r="F28" s="18" t="s">
        <v>853</v>
      </c>
      <c r="G28" s="18" t="s">
        <v>836</v>
      </c>
      <c r="H28" s="18" t="s">
        <v>880</v>
      </c>
      <c r="I28" s="18" t="s">
        <v>855</v>
      </c>
      <c r="J28" s="18" t="s">
        <v>839</v>
      </c>
    </row>
    <row r="29" spans="1:11" x14ac:dyDescent="0.45">
      <c r="A29" s="12" t="s">
        <v>843</v>
      </c>
      <c r="B29" s="3" t="s">
        <v>881</v>
      </c>
      <c r="C29" s="12" t="s">
        <v>882</v>
      </c>
      <c r="E29" s="50">
        <f t="shared" ref="E29:E41" si="6">SUMIFS(Src_Val,Src_Key,$A29&amp;"_low",Src_PK,$C29)</f>
        <v>15</v>
      </c>
      <c r="F29" s="50">
        <f t="shared" ref="F29:F41" si="7">SUMIFS(Src_Val,Src_Key,$A29&amp;"_high",Src_PK,$C29)</f>
        <v>25</v>
      </c>
      <c r="G29" s="50">
        <f t="shared" ref="G29:G41" si="8">AVERAGE(E29:F29)</f>
        <v>20</v>
      </c>
      <c r="H29" s="13">
        <f>IS!L54</f>
        <v>35</v>
      </c>
      <c r="I29" s="50">
        <f t="shared" ref="I29:I41" si="9">H29-G29</f>
        <v>15</v>
      </c>
      <c r="J29" s="51">
        <f t="shared" ref="J29:J41" si="10">H29/G29-1</f>
        <v>0.75</v>
      </c>
    </row>
    <row r="30" spans="1:11" x14ac:dyDescent="0.45">
      <c r="A30" s="12" t="s">
        <v>843</v>
      </c>
      <c r="B30" s="3" t="s">
        <v>883</v>
      </c>
      <c r="C30" s="12" t="s">
        <v>884</v>
      </c>
      <c r="E30" s="50">
        <f t="shared" si="6"/>
        <v>5</v>
      </c>
      <c r="F30" s="50">
        <f t="shared" si="7"/>
        <v>15</v>
      </c>
      <c r="G30" s="50">
        <f t="shared" si="8"/>
        <v>10</v>
      </c>
      <c r="H30" s="13">
        <f>IS!M54</f>
        <v>29</v>
      </c>
      <c r="I30" s="50">
        <f t="shared" si="9"/>
        <v>19</v>
      </c>
      <c r="J30" s="51">
        <f t="shared" si="10"/>
        <v>1.9</v>
      </c>
    </row>
    <row r="31" spans="1:11" x14ac:dyDescent="0.45">
      <c r="A31" s="12" t="s">
        <v>843</v>
      </c>
      <c r="B31" s="3" t="s">
        <v>885</v>
      </c>
      <c r="C31" s="12" t="s">
        <v>886</v>
      </c>
      <c r="E31" s="50">
        <f t="shared" si="6"/>
        <v>15</v>
      </c>
      <c r="F31" s="50">
        <f t="shared" si="7"/>
        <v>25</v>
      </c>
      <c r="G31" s="50">
        <f t="shared" si="8"/>
        <v>20</v>
      </c>
      <c r="H31" s="13">
        <f>IS!N54</f>
        <v>57</v>
      </c>
      <c r="I31" s="50">
        <f t="shared" si="9"/>
        <v>37</v>
      </c>
      <c r="J31" s="51">
        <f t="shared" si="10"/>
        <v>1.85</v>
      </c>
    </row>
    <row r="32" spans="1:11" x14ac:dyDescent="0.45">
      <c r="A32" s="12" t="s">
        <v>843</v>
      </c>
      <c r="B32" s="3" t="s">
        <v>887</v>
      </c>
      <c r="C32" s="12" t="s">
        <v>888</v>
      </c>
      <c r="E32" s="50">
        <f t="shared" si="6"/>
        <v>55</v>
      </c>
      <c r="F32" s="50">
        <f t="shared" si="7"/>
        <v>65</v>
      </c>
      <c r="G32" s="50">
        <f t="shared" si="8"/>
        <v>60</v>
      </c>
      <c r="H32" s="13">
        <f>IS!O54</f>
        <v>92</v>
      </c>
      <c r="I32" s="50">
        <f t="shared" si="9"/>
        <v>32</v>
      </c>
      <c r="J32" s="51">
        <f t="shared" si="10"/>
        <v>0.53333333333333344</v>
      </c>
    </row>
    <row r="33" spans="1:11" x14ac:dyDescent="0.45">
      <c r="A33" s="12" t="s">
        <v>843</v>
      </c>
      <c r="B33" s="3" t="s">
        <v>889</v>
      </c>
      <c r="C33" s="12" t="s">
        <v>890</v>
      </c>
      <c r="E33" s="50">
        <f t="shared" si="6"/>
        <v>70</v>
      </c>
      <c r="F33" s="50">
        <f t="shared" si="7"/>
        <v>80</v>
      </c>
      <c r="G33" s="50">
        <f t="shared" si="8"/>
        <v>75</v>
      </c>
      <c r="H33" s="13">
        <f>IS!P54</f>
        <v>113</v>
      </c>
      <c r="I33" s="50">
        <f t="shared" si="9"/>
        <v>38</v>
      </c>
      <c r="J33" s="51">
        <f t="shared" si="10"/>
        <v>0.5066666666666666</v>
      </c>
    </row>
    <row r="34" spans="1:11" x14ac:dyDescent="0.45">
      <c r="A34" s="12" t="s">
        <v>843</v>
      </c>
      <c r="B34" s="3" t="s">
        <v>891</v>
      </c>
      <c r="C34" s="12" t="s">
        <v>892</v>
      </c>
      <c r="E34" s="50">
        <f t="shared" si="6"/>
        <v>90</v>
      </c>
      <c r="F34" s="50">
        <f t="shared" si="7"/>
        <v>100</v>
      </c>
      <c r="G34" s="50">
        <f t="shared" si="8"/>
        <v>95</v>
      </c>
      <c r="H34" s="13">
        <f>IS!Q54</f>
        <v>111</v>
      </c>
      <c r="I34" s="50">
        <f t="shared" si="9"/>
        <v>16</v>
      </c>
      <c r="J34" s="51">
        <f t="shared" si="10"/>
        <v>0.16842105263157903</v>
      </c>
    </row>
    <row r="35" spans="1:11" x14ac:dyDescent="0.45">
      <c r="A35" s="12" t="s">
        <v>843</v>
      </c>
      <c r="B35" s="3" t="s">
        <v>893</v>
      </c>
      <c r="C35" s="12" t="s">
        <v>894</v>
      </c>
      <c r="E35" s="50">
        <f t="shared" si="6"/>
        <v>100</v>
      </c>
      <c r="F35" s="50">
        <f t="shared" si="7"/>
        <v>110</v>
      </c>
      <c r="G35" s="50">
        <f t="shared" si="8"/>
        <v>105</v>
      </c>
      <c r="H35" s="13">
        <f>IS!R54</f>
        <v>133</v>
      </c>
      <c r="I35" s="50">
        <f t="shared" si="9"/>
        <v>28</v>
      </c>
      <c r="J35" s="51">
        <f t="shared" si="10"/>
        <v>0.26666666666666661</v>
      </c>
    </row>
    <row r="36" spans="1:11" x14ac:dyDescent="0.45">
      <c r="A36" s="12" t="s">
        <v>843</v>
      </c>
      <c r="B36" s="3" t="s">
        <v>895</v>
      </c>
      <c r="C36" s="12" t="s">
        <v>896</v>
      </c>
      <c r="E36" s="50">
        <f t="shared" si="6"/>
        <v>130</v>
      </c>
      <c r="F36" s="50">
        <f t="shared" si="7"/>
        <v>140</v>
      </c>
      <c r="G36" s="50">
        <f t="shared" si="8"/>
        <v>135</v>
      </c>
      <c r="H36" s="13">
        <f>IS!S54</f>
        <v>161</v>
      </c>
      <c r="I36" s="50">
        <f t="shared" si="9"/>
        <v>26</v>
      </c>
      <c r="J36" s="51">
        <f t="shared" si="10"/>
        <v>0.19259259259259265</v>
      </c>
    </row>
    <row r="37" spans="1:11" x14ac:dyDescent="0.45">
      <c r="A37" s="12" t="s">
        <v>843</v>
      </c>
      <c r="B37" s="3" t="s">
        <v>897</v>
      </c>
      <c r="C37" s="12" t="s">
        <v>898</v>
      </c>
      <c r="E37" s="50">
        <f t="shared" si="6"/>
        <v>140</v>
      </c>
      <c r="F37" s="50">
        <f t="shared" si="7"/>
        <v>150</v>
      </c>
      <c r="G37" s="50">
        <f t="shared" si="8"/>
        <v>145</v>
      </c>
      <c r="H37" s="13">
        <f>IS!T54</f>
        <v>176</v>
      </c>
      <c r="I37" s="50">
        <f t="shared" si="9"/>
        <v>31</v>
      </c>
      <c r="J37" s="51">
        <f t="shared" si="10"/>
        <v>0.21379310344827585</v>
      </c>
    </row>
    <row r="38" spans="1:11" x14ac:dyDescent="0.45">
      <c r="A38" s="12" t="s">
        <v>843</v>
      </c>
      <c r="B38" s="3" t="s">
        <v>899</v>
      </c>
      <c r="C38" s="12" t="s">
        <v>900</v>
      </c>
      <c r="E38" s="50">
        <f t="shared" si="6"/>
        <v>140</v>
      </c>
      <c r="F38" s="50">
        <f t="shared" si="7"/>
        <v>150</v>
      </c>
      <c r="G38" s="50">
        <f t="shared" si="8"/>
        <v>145</v>
      </c>
      <c r="H38" s="13">
        <f>IS!U54</f>
        <v>163</v>
      </c>
      <c r="I38" s="50">
        <f t="shared" si="9"/>
        <v>18</v>
      </c>
      <c r="J38" s="51">
        <f t="shared" si="10"/>
        <v>0.12413793103448278</v>
      </c>
    </row>
    <row r="39" spans="1:11" x14ac:dyDescent="0.45">
      <c r="A39" s="12" t="s">
        <v>843</v>
      </c>
      <c r="B39" s="3" t="s">
        <v>901</v>
      </c>
      <c r="C39" s="12" t="s">
        <v>902</v>
      </c>
      <c r="E39" s="50">
        <f t="shared" si="6"/>
        <v>160</v>
      </c>
      <c r="F39" s="50">
        <f t="shared" si="7"/>
        <v>170</v>
      </c>
      <c r="G39" s="50">
        <f t="shared" si="8"/>
        <v>165</v>
      </c>
      <c r="H39" s="13">
        <f>IS!V54</f>
        <v>179</v>
      </c>
      <c r="I39" s="50">
        <f t="shared" si="9"/>
        <v>14</v>
      </c>
      <c r="J39" s="51">
        <f t="shared" si="10"/>
        <v>8.4848484848484951E-2</v>
      </c>
    </row>
    <row r="40" spans="1:11" x14ac:dyDescent="0.45">
      <c r="A40" s="12" t="s">
        <v>843</v>
      </c>
      <c r="B40" s="3" t="s">
        <v>903</v>
      </c>
      <c r="C40" s="12" t="s">
        <v>904</v>
      </c>
      <c r="E40" s="50">
        <f t="shared" si="6"/>
        <v>185</v>
      </c>
      <c r="F40" s="50">
        <f t="shared" si="7"/>
        <v>195</v>
      </c>
      <c r="G40" s="50">
        <f t="shared" si="8"/>
        <v>190</v>
      </c>
      <c r="H40" s="13">
        <f>IS!W54</f>
        <v>221</v>
      </c>
      <c r="I40" s="50">
        <f t="shared" si="9"/>
        <v>31</v>
      </c>
      <c r="J40" s="51">
        <f t="shared" si="10"/>
        <v>0.16315789473684217</v>
      </c>
    </row>
    <row r="41" spans="1:11" x14ac:dyDescent="0.45">
      <c r="A41" s="12" t="s">
        <v>843</v>
      </c>
      <c r="B41" s="3" t="s">
        <v>905</v>
      </c>
      <c r="C41" s="12" t="s">
        <v>846</v>
      </c>
      <c r="E41" s="50">
        <f t="shared" si="6"/>
        <v>210</v>
      </c>
      <c r="F41" s="50">
        <f t="shared" si="7"/>
        <v>220</v>
      </c>
      <c r="G41" s="50">
        <f t="shared" si="8"/>
        <v>215</v>
      </c>
      <c r="H41" s="13">
        <f>IS!X54</f>
        <v>244.23172876838197</v>
      </c>
      <c r="I41" s="50">
        <f t="shared" si="9"/>
        <v>29.23172876838197</v>
      </c>
      <c r="J41" s="51">
        <f t="shared" si="10"/>
        <v>0.13596152915526494</v>
      </c>
    </row>
    <row r="43" spans="1:11" x14ac:dyDescent="0.45">
      <c r="A43" s="21"/>
      <c r="B43" s="22" t="s">
        <v>906</v>
      </c>
      <c r="C43" s="21"/>
      <c r="D43" s="21"/>
      <c r="E43" s="21"/>
      <c r="F43" s="21"/>
      <c r="G43" s="21"/>
      <c r="H43" s="21"/>
      <c r="I43" s="21"/>
      <c r="J43" s="21"/>
      <c r="K43" s="21"/>
    </row>
    <row r="44" spans="1:11" ht="30" customHeight="1" x14ac:dyDescent="0.45">
      <c r="B44" s="7" t="s">
        <v>832</v>
      </c>
      <c r="C44" s="7" t="s">
        <v>833</v>
      </c>
      <c r="E44" s="18" t="s">
        <v>907</v>
      </c>
      <c r="F44" s="18" t="s">
        <v>908</v>
      </c>
      <c r="G44" s="18" t="s">
        <v>909</v>
      </c>
      <c r="H44" s="18" t="s">
        <v>910</v>
      </c>
    </row>
    <row r="45" spans="1:11" x14ac:dyDescent="0.45">
      <c r="A45" s="12" t="s">
        <v>843</v>
      </c>
      <c r="B45" s="3" t="s">
        <v>911</v>
      </c>
      <c r="C45" s="12" t="s">
        <v>858</v>
      </c>
      <c r="E45" s="50">
        <f>SUMIFS(Src_Val,Src_Key,$A45&amp;"_low",Src_PK,$C45)</f>
        <v>200</v>
      </c>
      <c r="F45" s="50">
        <f>SUMIFS(Src_Val,Src_Key,$A45&amp;"_high",Src_PK,$C45)</f>
        <v>220</v>
      </c>
      <c r="G45" s="13">
        <f>Annual!I61</f>
        <v>373</v>
      </c>
      <c r="H45" s="51">
        <f>G45/F45-1</f>
        <v>0.69545454545454555</v>
      </c>
    </row>
    <row r="46" spans="1:11" x14ac:dyDescent="0.45">
      <c r="A46" s="12" t="s">
        <v>840</v>
      </c>
      <c r="B46" s="3" t="s">
        <v>912</v>
      </c>
      <c r="C46" s="12" t="s">
        <v>858</v>
      </c>
      <c r="E46" s="50">
        <f>SUMIFS(Src_Val,Src_Key,$A46&amp;"_low",Src_PK,$C46)</f>
        <v>1300</v>
      </c>
      <c r="F46" s="50">
        <f>SUMIFS(Src_Val,Src_Key,$A46&amp;"_high",Src_PK,$C46)</f>
        <v>1320</v>
      </c>
      <c r="G46" s="13">
        <f>Annual!I37</f>
        <v>1417</v>
      </c>
      <c r="H46" s="51">
        <f>G46/F46-1</f>
        <v>7.3484848484848486E-2</v>
      </c>
    </row>
    <row r="47" spans="1:11" x14ac:dyDescent="0.45">
      <c r="A47" s="12" t="s">
        <v>843</v>
      </c>
      <c r="B47" s="3" t="s">
        <v>913</v>
      </c>
      <c r="C47" s="12" t="s">
        <v>866</v>
      </c>
      <c r="E47" s="50">
        <f>SUMIFS(Src_Val,Src_Key,$A47&amp;"_low",Src_PK,$C47)</f>
        <v>510</v>
      </c>
      <c r="F47" s="50">
        <f>SUMIFS(Src_Val,Src_Key,$A47&amp;"_high",Src_PK,$C47)</f>
        <v>530</v>
      </c>
      <c r="G47" s="13">
        <f>Annual!J61</f>
        <v>633</v>
      </c>
      <c r="H47" s="51">
        <f>G47/F47-1</f>
        <v>0.1943396226415095</v>
      </c>
    </row>
    <row r="48" spans="1:11" x14ac:dyDescent="0.45">
      <c r="A48" s="12" t="s">
        <v>840</v>
      </c>
      <c r="B48" s="3" t="s">
        <v>914</v>
      </c>
      <c r="C48" s="12" t="s">
        <v>866</v>
      </c>
      <c r="E48" s="50">
        <f>SUMIFS(Src_Val,Src_Key,$A48&amp;"_low",Src_PK,$C48)</f>
        <v>1745</v>
      </c>
      <c r="F48" s="50">
        <f>SUMIFS(Src_Val,Src_Key,$A48&amp;"_high",Src_PK,$C48)</f>
        <v>1765</v>
      </c>
      <c r="G48" s="13">
        <f>Annual!J37</f>
        <v>1887</v>
      </c>
      <c r="H48" s="51">
        <f>G48/F48-1</f>
        <v>6.9121813031161494E-2</v>
      </c>
    </row>
    <row r="50" spans="1:11" x14ac:dyDescent="0.45">
      <c r="A50" s="21"/>
      <c r="B50" s="22" t="s">
        <v>915</v>
      </c>
      <c r="C50" s="21"/>
      <c r="D50" s="21"/>
      <c r="E50" s="21"/>
      <c r="F50" s="21"/>
      <c r="G50" s="21"/>
      <c r="H50" s="21"/>
      <c r="I50" s="21"/>
      <c r="J50" s="21"/>
      <c r="K50" s="21"/>
    </row>
    <row r="51" spans="1:11" ht="30" customHeight="1" x14ac:dyDescent="0.45">
      <c r="B51" s="7" t="s">
        <v>916</v>
      </c>
      <c r="C51" s="7" t="s">
        <v>833</v>
      </c>
      <c r="E51" s="18" t="s">
        <v>917</v>
      </c>
      <c r="F51" s="18"/>
      <c r="G51" s="18"/>
      <c r="H51" s="18" t="s">
        <v>918</v>
      </c>
    </row>
    <row r="52" spans="1:11" x14ac:dyDescent="0.45">
      <c r="B52" s="3" t="s">
        <v>919</v>
      </c>
      <c r="C52" s="12" t="s">
        <v>73</v>
      </c>
      <c r="E52" s="51">
        <f>SUMIFS(Src_Val,Src_Key,"target_mt_low",Src_PK,"TARGET")</f>
        <v>0.3</v>
      </c>
      <c r="H52" s="12" t="s">
        <v>920</v>
      </c>
    </row>
    <row r="53" spans="1:11" x14ac:dyDescent="0.45">
      <c r="B53" s="3" t="s">
        <v>921</v>
      </c>
      <c r="C53" s="12" t="s">
        <v>73</v>
      </c>
      <c r="E53" s="51">
        <f>SUMIFS(Src_Val,Src_Key,"target_mt_high",Src_PK,"TARGET")</f>
        <v>0.35</v>
      </c>
      <c r="H53" s="12" t="s">
        <v>922</v>
      </c>
    </row>
    <row r="54" spans="1:11" x14ac:dyDescent="0.45">
      <c r="B54" s="3" t="s">
        <v>923</v>
      </c>
      <c r="C54" s="12" t="s">
        <v>73</v>
      </c>
      <c r="E54" s="51">
        <f>SUMIFS(Src_Val,Src_Key,"target_lt_floor",Src_PK,"TARGET")</f>
        <v>0.4</v>
      </c>
      <c r="H54" s="12" t="s">
        <v>924</v>
      </c>
    </row>
    <row r="55" spans="1:11" x14ac:dyDescent="0.45">
      <c r="B55" s="3" t="s">
        <v>925</v>
      </c>
      <c r="C55" s="12" t="s">
        <v>73</v>
      </c>
      <c r="E55" s="51">
        <f>SUMIFS(Src_Val,Src_Key,"margin_stated_q1_25",Src_PK,"Q1-2025")</f>
        <v>0.32</v>
      </c>
      <c r="F55" s="15">
        <f>IS!R54/Rev_Build!R61</f>
        <v>0.32048192771084338</v>
      </c>
    </row>
    <row r="57" spans="1:11" x14ac:dyDescent="0.45">
      <c r="B57" s="7" t="s">
        <v>926</v>
      </c>
      <c r="E57" s="65" t="str">
        <f>Annual!I4</f>
        <v>FY2024A</v>
      </c>
      <c r="F57" s="65" t="str">
        <f>Annual!J4</f>
        <v>FY2025A</v>
      </c>
      <c r="G57" s="66" t="str">
        <f>Annual!K4</f>
        <v>FY2026E</v>
      </c>
      <c r="H57" s="66" t="str">
        <f>Annual!L4</f>
        <v>FY2027E</v>
      </c>
      <c r="I57" s="66" t="str">
        <f>Annual!M4</f>
        <v>FY2028E</v>
      </c>
      <c r="J57" s="66" t="str">
        <f>Annual!N4</f>
        <v>FY2029E</v>
      </c>
    </row>
    <row r="58" spans="1:11" x14ac:dyDescent="0.45">
      <c r="B58" s="3" t="s">
        <v>927</v>
      </c>
      <c r="C58" s="12" t="s">
        <v>73</v>
      </c>
      <c r="E58" s="15">
        <f>Annual!I62</f>
        <v>0.26323218066337334</v>
      </c>
      <c r="F58" s="15">
        <f>Annual!J62</f>
        <v>0.3354531001589825</v>
      </c>
      <c r="G58" s="15">
        <f>Annual!K62</f>
        <v>0.36878230548698748</v>
      </c>
      <c r="H58" s="15">
        <f>Annual!L62</f>
        <v>0.40348877407927752</v>
      </c>
      <c r="I58" s="15">
        <f>Annual!M62</f>
        <v>0.43474726844316236</v>
      </c>
      <c r="J58" s="15">
        <f>Annual!N62</f>
        <v>0.45585334548949097</v>
      </c>
    </row>
    <row r="59" spans="1:11" x14ac:dyDescent="0.45">
      <c r="B59" s="3" t="s">
        <v>928</v>
      </c>
      <c r="C59" s="12" t="s">
        <v>929</v>
      </c>
      <c r="E59" s="52">
        <f t="shared" ref="E59:J59" si="11">(E58-$E$54)*100</f>
        <v>-13.676781933662669</v>
      </c>
      <c r="F59" s="52">
        <f t="shared" si="11"/>
        <v>-6.4546899841017522</v>
      </c>
      <c r="G59" s="52">
        <f t="shared" si="11"/>
        <v>-3.1217694513012537</v>
      </c>
      <c r="H59" s="52">
        <f t="shared" si="11"/>
        <v>0.34887740792775013</v>
      </c>
      <c r="I59" s="52">
        <f t="shared" si="11"/>
        <v>3.4747268443162338</v>
      </c>
      <c r="J59" s="52">
        <f t="shared" si="11"/>
        <v>5.5853345489490946</v>
      </c>
    </row>
  </sheetData>
  <pageMargins left="0.75" right="0.75" top="1" bottom="1" header="0.5" footer="0.5"/>
  <pageSetup fitToHeight="0"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G99"/>
  <sheetViews>
    <sheetView showGridLines="0" zoomScale="90" workbookViewId="0">
      <pane xSplit="4" ySplit="4" topLeftCell="E5" activePane="bottomRight" state="frozen"/>
      <selection pane="topRight"/>
      <selection pane="bottomLeft"/>
      <selection pane="bottomRight"/>
    </sheetView>
  </sheetViews>
  <sheetFormatPr defaultRowHeight="14.25" x14ac:dyDescent="0.45"/>
  <cols>
    <col min="1" max="1" width="13" customWidth="1"/>
    <col min="2" max="2" width="84" customWidth="1"/>
    <col min="3" max="3" width="11" customWidth="1"/>
    <col min="4" max="4" width="3" customWidth="1"/>
    <col min="5" max="7" width="12" customWidth="1"/>
  </cols>
  <sheetData>
    <row r="1" spans="1:7" ht="18" x14ac:dyDescent="0.55000000000000004">
      <c r="A1" s="1" t="s">
        <v>930</v>
      </c>
    </row>
    <row r="2" spans="1:7" x14ac:dyDescent="0.45">
      <c r="A2" s="2" t="s">
        <v>931</v>
      </c>
    </row>
    <row r="4" spans="1:7" x14ac:dyDescent="0.45">
      <c r="B4" s="7" t="s">
        <v>932</v>
      </c>
      <c r="E4" s="35" t="s">
        <v>933</v>
      </c>
      <c r="F4" s="35" t="s">
        <v>934</v>
      </c>
      <c r="G4" s="35" t="s">
        <v>935</v>
      </c>
    </row>
    <row r="5" spans="1:7" x14ac:dyDescent="0.45">
      <c r="A5" s="21"/>
      <c r="B5" s="22" t="s">
        <v>936</v>
      </c>
      <c r="C5" s="21"/>
      <c r="D5" s="21"/>
      <c r="E5" s="21"/>
      <c r="F5" s="21"/>
      <c r="G5" s="21"/>
    </row>
    <row r="6" spans="1:7" x14ac:dyDescent="0.45">
      <c r="A6" s="12" t="s">
        <v>937</v>
      </c>
      <c r="B6" s="3" t="s">
        <v>938</v>
      </c>
      <c r="C6" s="12" t="s">
        <v>65</v>
      </c>
      <c r="E6" s="13">
        <f>Rev_Build!P11*SUM(Rev_Build!P11:S11)/SUM(Rev_Build!L11:O11)</f>
        <v>7259.2592592592591</v>
      </c>
      <c r="F6" s="13">
        <f>Rev_Build!Q11*SUM(Rev_Build!P11:S11)/SUM(Rev_Build!L11:O11)</f>
        <v>7259.2592592592591</v>
      </c>
      <c r="G6" s="50">
        <f>E6+F6</f>
        <v>14518.518518518518</v>
      </c>
    </row>
    <row r="7" spans="1:7" x14ac:dyDescent="0.45">
      <c r="A7" s="12" t="s">
        <v>939</v>
      </c>
      <c r="B7" s="3" t="s">
        <v>940</v>
      </c>
      <c r="C7" s="12" t="s">
        <v>65</v>
      </c>
      <c r="E7" s="13">
        <f>Rev_Build!S10+E6</f>
        <v>155259.25925925927</v>
      </c>
      <c r="F7" s="50">
        <f>E7+F6</f>
        <v>162518.51851851854</v>
      </c>
      <c r="G7" s="50">
        <f>F7</f>
        <v>162518.51851851854</v>
      </c>
    </row>
    <row r="8" spans="1:7" x14ac:dyDescent="0.45">
      <c r="A8" s="12" t="s">
        <v>941</v>
      </c>
      <c r="B8" s="3" t="s">
        <v>757</v>
      </c>
      <c r="C8" s="12" t="s">
        <v>65</v>
      </c>
      <c r="E8" s="13">
        <f>AVERAGE(Rev_Build!S10,E7)</f>
        <v>151629.62962962964</v>
      </c>
      <c r="F8" s="50">
        <f>AVERAGE(E7,F7)</f>
        <v>158888.88888888891</v>
      </c>
    </row>
    <row r="9" spans="1:7" x14ac:dyDescent="0.45">
      <c r="A9" s="12" t="s">
        <v>942</v>
      </c>
      <c r="B9" s="3" t="s">
        <v>943</v>
      </c>
      <c r="C9" s="12" t="s">
        <v>347</v>
      </c>
      <c r="E9" s="13">
        <f>Rev_Build!P15*(1+Rev_Build!S16)</f>
        <v>561.93600312179888</v>
      </c>
      <c r="F9" s="13">
        <f>Rev_Build!Q15*(1+Rev_Build!S16)</f>
        <v>562.74480638603802</v>
      </c>
    </row>
    <row r="10" spans="1:7" x14ac:dyDescent="0.45">
      <c r="A10" s="12" t="s">
        <v>944</v>
      </c>
      <c r="B10" s="3" t="s">
        <v>622</v>
      </c>
      <c r="C10" s="12" t="s">
        <v>70</v>
      </c>
      <c r="E10" s="50">
        <f>E8*E9*MonthsPerQuarter/Mn</f>
        <v>255.61844408673829</v>
      </c>
      <c r="F10" s="50">
        <f>F8*F9*MonthsPerQuarter/Mn</f>
        <v>268.24169104401147</v>
      </c>
      <c r="G10" s="50">
        <f>E10+F10</f>
        <v>523.86013513074977</v>
      </c>
    </row>
    <row r="11" spans="1:7" x14ac:dyDescent="0.45">
      <c r="A11" s="12" t="s">
        <v>945</v>
      </c>
      <c r="B11" s="3" t="s">
        <v>946</v>
      </c>
      <c r="C11" s="12" t="s">
        <v>355</v>
      </c>
      <c r="E11" s="14">
        <f>Rev_Build!P19*(1+Rev_Build!S20)</f>
        <v>335.12753869479019</v>
      </c>
      <c r="F11" s="14">
        <f>Rev_Build!Q19*(1+Rev_Build!S20)</f>
        <v>320.954122847127</v>
      </c>
    </row>
    <row r="12" spans="1:7" x14ac:dyDescent="0.45">
      <c r="A12" s="12" t="s">
        <v>947</v>
      </c>
      <c r="B12" s="3" t="s">
        <v>948</v>
      </c>
      <c r="C12" s="12" t="s">
        <v>68</v>
      </c>
      <c r="E12" s="52">
        <f>E11*E8/Mn</f>
        <v>50.81526457098041</v>
      </c>
      <c r="F12" s="52">
        <f>F11*F8/Mn</f>
        <v>50.996043963487963</v>
      </c>
      <c r="G12" s="52">
        <f>E12+F12</f>
        <v>101.81130853446837</v>
      </c>
    </row>
    <row r="13" spans="1:7" x14ac:dyDescent="0.45">
      <c r="A13" s="12" t="s">
        <v>949</v>
      </c>
      <c r="B13" s="3" t="s">
        <v>950</v>
      </c>
      <c r="C13" s="12" t="s">
        <v>73</v>
      </c>
      <c r="E13" s="71">
        <f>Rev_Build!P25+Rev_Build!S26/BpsPerUnit</f>
        <v>2.5899413001329061E-2</v>
      </c>
      <c r="F13" s="71">
        <f>Rev_Build!Q25+Rev_Build!S26/BpsPerUnit</f>
        <v>2.6141266911565802E-2</v>
      </c>
    </row>
    <row r="14" spans="1:7" x14ac:dyDescent="0.45">
      <c r="A14" s="12" t="s">
        <v>951</v>
      </c>
      <c r="B14" s="3" t="s">
        <v>952</v>
      </c>
      <c r="C14" s="12" t="s">
        <v>73</v>
      </c>
      <c r="E14" s="71">
        <f>Rev_Build!P29+Rev_Build!S30/BpsPerUnit</f>
        <v>2.0002505766484564E-2</v>
      </c>
      <c r="F14" s="71">
        <f>Rev_Build!Q29+Rev_Build!S30/BpsPerUnit</f>
        <v>2.0168098410852483E-2</v>
      </c>
    </row>
    <row r="15" spans="1:7" x14ac:dyDescent="0.45">
      <c r="A15" s="12" t="s">
        <v>953</v>
      </c>
      <c r="B15" s="3" t="s">
        <v>806</v>
      </c>
      <c r="C15" s="12" t="s">
        <v>70</v>
      </c>
      <c r="E15" s="50">
        <f>E12*MnPerBn*E13</f>
        <v>1316.0855238956262</v>
      </c>
      <c r="F15" s="50">
        <f>F12*MnPerBn*F13</f>
        <v>1333.1011966834828</v>
      </c>
      <c r="G15" s="50">
        <f>E15+F15</f>
        <v>2649.1867205791091</v>
      </c>
    </row>
    <row r="16" spans="1:7" x14ac:dyDescent="0.45">
      <c r="A16" s="12" t="s">
        <v>954</v>
      </c>
      <c r="B16" s="3" t="s">
        <v>955</v>
      </c>
      <c r="C16" s="12" t="s">
        <v>73</v>
      </c>
      <c r="E16" s="15">
        <f>1-SUM(Rev_Build!P41:S41)/SUM(Rev_Build!P17:S17)</f>
        <v>0.7018181818181819</v>
      </c>
      <c r="F16" s="15">
        <f>1-SUM(Rev_Build!P41:S41)/SUM(Rev_Build!P17:S17)</f>
        <v>0.7018181818181819</v>
      </c>
    </row>
    <row r="17" spans="1:7" x14ac:dyDescent="0.45">
      <c r="A17" s="12" t="s">
        <v>956</v>
      </c>
      <c r="B17" s="3" t="s">
        <v>98</v>
      </c>
      <c r="C17" s="12" t="s">
        <v>70</v>
      </c>
      <c r="E17" s="50">
        <f>E10*E16</f>
        <v>179.39767166814727</v>
      </c>
      <c r="F17" s="50">
        <f>F10*F16</f>
        <v>188.25689589634263</v>
      </c>
      <c r="G17" s="50">
        <f>E17+F17</f>
        <v>367.65456756448987</v>
      </c>
    </row>
    <row r="18" spans="1:7" x14ac:dyDescent="0.45">
      <c r="A18" s="12" t="s">
        <v>957</v>
      </c>
      <c r="B18" s="3" t="s">
        <v>99</v>
      </c>
      <c r="C18" s="12" t="s">
        <v>70</v>
      </c>
      <c r="E18" s="50">
        <f>E12*MnPerBn*(E13-E14)</f>
        <v>299.65290128915166</v>
      </c>
      <c r="F18" s="50">
        <f>F12*MnPerBn*(F13-F14)</f>
        <v>304.6079634636979</v>
      </c>
      <c r="G18" s="50">
        <f>E18+F18</f>
        <v>604.26086475284956</v>
      </c>
    </row>
    <row r="19" spans="1:7" x14ac:dyDescent="0.45">
      <c r="A19" s="12" t="s">
        <v>958</v>
      </c>
      <c r="B19" s="3" t="s">
        <v>959</v>
      </c>
      <c r="C19" s="12" t="s">
        <v>70</v>
      </c>
      <c r="E19" s="13">
        <f>Rev_Build!S60</f>
        <v>17</v>
      </c>
      <c r="F19" s="13">
        <f>Rev_Build!S60</f>
        <v>17</v>
      </c>
      <c r="G19" s="50">
        <f>E19+F19</f>
        <v>34</v>
      </c>
    </row>
    <row r="20" spans="1:7" x14ac:dyDescent="0.45">
      <c r="A20" s="12" t="s">
        <v>960</v>
      </c>
      <c r="B20" s="4" t="s">
        <v>961</v>
      </c>
      <c r="C20" s="12" t="s">
        <v>70</v>
      </c>
      <c r="E20" s="49">
        <f>E17+E18+E19</f>
        <v>496.05057295729893</v>
      </c>
      <c r="F20" s="49">
        <f>F17+F18+F19</f>
        <v>509.86485936004055</v>
      </c>
      <c r="G20" s="49">
        <f>E20+F20</f>
        <v>1005.9154323173395</v>
      </c>
    </row>
    <row r="21" spans="1:7" x14ac:dyDescent="0.45">
      <c r="A21" s="12" t="s">
        <v>962</v>
      </c>
      <c r="B21" s="3" t="s">
        <v>963</v>
      </c>
      <c r="C21" s="12" t="s">
        <v>70</v>
      </c>
      <c r="E21" s="13">
        <f>E6*SUM(Rev_Build!P53:S53)/SUM(Rev_Build!P11:S11)</f>
        <v>-42.25925925925926</v>
      </c>
      <c r="F21" s="13">
        <f>F6*SUM(Rev_Build!P53:S53)/SUM(Rev_Build!P11:S11)</f>
        <v>-42.25925925925926</v>
      </c>
      <c r="G21" s="50">
        <f>E21+F21</f>
        <v>-84.518518518518519</v>
      </c>
    </row>
    <row r="22" spans="1:7" x14ac:dyDescent="0.45">
      <c r="A22" s="12" t="s">
        <v>964</v>
      </c>
      <c r="B22" s="3" t="s">
        <v>965</v>
      </c>
      <c r="C22" s="12" t="s">
        <v>193</v>
      </c>
      <c r="E22" s="14">
        <f>(SUM(IS!P38:S38)-INDEX(Drv_svc,1,1)*SUM(Rev_Build!P12:S12)/QuartersPerYear/Thousand)/SUM(Rev_Build!P11:S11)*Thousand</f>
        <v>6.875</v>
      </c>
      <c r="F22" s="14">
        <f>(SUM(IS!P38:S38)-INDEX(Drv_svc,1,1)*SUM(Rev_Build!P12:S12)/QuartersPerYear/Thousand)/SUM(Rev_Build!P11:S11)*Thousand</f>
        <v>6.875</v>
      </c>
    </row>
    <row r="23" spans="1:7" x14ac:dyDescent="0.45">
      <c r="A23" s="12" t="s">
        <v>966</v>
      </c>
      <c r="B23" s="3" t="s">
        <v>967</v>
      </c>
      <c r="C23" s="12" t="s">
        <v>70</v>
      </c>
      <c r="E23" s="13">
        <f>INDEX(Drv_svc,1,1)*E8/QuartersPerYear/Thousand+AVERAGE(Rev_Build!P11:S11)*E22/Thousand</f>
        <v>123.93981481481482</v>
      </c>
      <c r="F23" s="13">
        <f>INDEX(Drv_svc,1,1)*F8/QuartersPerYear/Thousand+AVERAGE(Rev_Build!P11:S11)*F22/Thousand</f>
        <v>127.56944444444446</v>
      </c>
      <c r="G23" s="50">
        <f>E23+F23</f>
        <v>251.5092592592593</v>
      </c>
    </row>
    <row r="24" spans="1:7" x14ac:dyDescent="0.45">
      <c r="A24" s="12" t="s">
        <v>968</v>
      </c>
      <c r="B24" s="3" t="s">
        <v>969</v>
      </c>
      <c r="C24" s="12" t="s">
        <v>70</v>
      </c>
      <c r="E24" s="13">
        <f>IS!P41*SUM(IS!P41:S41)/SUM(IS!L41:O41)</f>
        <v>68.588235294117652</v>
      </c>
      <c r="F24" s="13">
        <f>IS!Q41*SUM(IS!P41:S41)/SUM(IS!L41:O41)</f>
        <v>71.705882352941174</v>
      </c>
      <c r="G24" s="50">
        <f>E24+F24</f>
        <v>140.29411764705884</v>
      </c>
    </row>
    <row r="25" spans="1:7" x14ac:dyDescent="0.45">
      <c r="A25" s="12" t="s">
        <v>970</v>
      </c>
      <c r="B25" s="3" t="s">
        <v>971</v>
      </c>
      <c r="C25" s="12" t="s">
        <v>70</v>
      </c>
      <c r="E25" s="13">
        <f>IS!P42*SUM(IS!P42:S42)/SUM(IS!L42:O42)</f>
        <v>59.737499999999997</v>
      </c>
      <c r="F25" s="13">
        <f>IS!Q42*SUM(IS!P42:S42)/SUM(IS!L42:O42)</f>
        <v>59.737499999999997</v>
      </c>
      <c r="G25" s="50">
        <f>E25+F25</f>
        <v>119.47499999999999</v>
      </c>
    </row>
    <row r="26" spans="1:7" x14ac:dyDescent="0.45">
      <c r="A26" s="12" t="s">
        <v>972</v>
      </c>
      <c r="B26" s="4" t="s">
        <v>973</v>
      </c>
      <c r="C26" s="12" t="s">
        <v>70</v>
      </c>
      <c r="E26" s="56">
        <f>E20+E21-E23-E24-E25</f>
        <v>201.52576358910716</v>
      </c>
      <c r="F26" s="56">
        <f>F20+F21-F23-F24-F25</f>
        <v>208.59277330339569</v>
      </c>
      <c r="G26" s="56">
        <f>E26+F26</f>
        <v>410.11853689250285</v>
      </c>
    </row>
    <row r="27" spans="1:7" x14ac:dyDescent="0.45">
      <c r="A27" s="21"/>
      <c r="B27" s="22" t="s">
        <v>974</v>
      </c>
      <c r="C27" s="21"/>
      <c r="D27" s="21"/>
      <c r="E27" s="21"/>
      <c r="F27" s="21"/>
      <c r="G27" s="21"/>
    </row>
    <row r="28" spans="1:7" x14ac:dyDescent="0.45">
      <c r="A28" s="12" t="s">
        <v>975</v>
      </c>
      <c r="B28" s="3" t="s">
        <v>66</v>
      </c>
      <c r="C28" s="12" t="s">
        <v>65</v>
      </c>
      <c r="E28" s="13">
        <f>Rev_Build!T11</f>
        <v>8000</v>
      </c>
      <c r="F28" s="13">
        <f>Rev_Build!U11</f>
        <v>8000</v>
      </c>
      <c r="G28" s="50">
        <f>E28+F28</f>
        <v>16000</v>
      </c>
    </row>
    <row r="29" spans="1:7" x14ac:dyDescent="0.45">
      <c r="A29" s="12" t="s">
        <v>976</v>
      </c>
      <c r="B29" s="3" t="s">
        <v>338</v>
      </c>
      <c r="C29" s="12" t="s">
        <v>65</v>
      </c>
      <c r="E29" s="13">
        <f>Rev_Build!T10</f>
        <v>156000</v>
      </c>
      <c r="F29" s="13">
        <f>Rev_Build!U10</f>
        <v>164000</v>
      </c>
      <c r="G29" s="50">
        <f>F29</f>
        <v>164000</v>
      </c>
    </row>
    <row r="30" spans="1:7" x14ac:dyDescent="0.45">
      <c r="A30" s="12" t="s">
        <v>977</v>
      </c>
      <c r="B30" s="3" t="s">
        <v>341</v>
      </c>
      <c r="C30" s="12" t="s">
        <v>65</v>
      </c>
      <c r="E30" s="13">
        <f>Rev_Build!T12</f>
        <v>152000</v>
      </c>
      <c r="F30" s="13">
        <f>Rev_Build!U12</f>
        <v>160000</v>
      </c>
    </row>
    <row r="31" spans="1:7" x14ac:dyDescent="0.45">
      <c r="A31" s="12" t="s">
        <v>978</v>
      </c>
      <c r="B31" s="3" t="s">
        <v>346</v>
      </c>
      <c r="C31" s="12" t="s">
        <v>347</v>
      </c>
      <c r="E31" s="13">
        <f>Rev_Build!T15</f>
        <v>535.08771929824559</v>
      </c>
      <c r="F31" s="13">
        <f>Rev_Build!U15</f>
        <v>533.33333333333337</v>
      </c>
    </row>
    <row r="32" spans="1:7" x14ac:dyDescent="0.45">
      <c r="A32" s="12" t="s">
        <v>979</v>
      </c>
      <c r="B32" s="3" t="s">
        <v>351</v>
      </c>
      <c r="C32" s="12" t="s">
        <v>70</v>
      </c>
      <c r="E32" s="13">
        <f>Rev_Build!T17</f>
        <v>244</v>
      </c>
      <c r="F32" s="13">
        <f>Rev_Build!U17</f>
        <v>256</v>
      </c>
      <c r="G32" s="50">
        <f>E32+F32</f>
        <v>500</v>
      </c>
    </row>
    <row r="33" spans="1:7" x14ac:dyDescent="0.45">
      <c r="A33" s="12" t="s">
        <v>980</v>
      </c>
      <c r="B33" s="3" t="s">
        <v>354</v>
      </c>
      <c r="C33" s="12" t="s">
        <v>355</v>
      </c>
      <c r="E33" s="14">
        <f>Rev_Build!T19</f>
        <v>338.81578947368422</v>
      </c>
      <c r="F33" s="14">
        <f>Rev_Build!U19</f>
        <v>321.25</v>
      </c>
    </row>
    <row r="34" spans="1:7" x14ac:dyDescent="0.45">
      <c r="A34" s="12" t="s">
        <v>981</v>
      </c>
      <c r="B34" s="3" t="s">
        <v>362</v>
      </c>
      <c r="C34" s="12" t="s">
        <v>68</v>
      </c>
      <c r="E34" s="14">
        <f>Rev_Build!T23</f>
        <v>51.5</v>
      </c>
      <c r="F34" s="14">
        <f>Rev_Build!U23</f>
        <v>51.4</v>
      </c>
      <c r="G34" s="52">
        <f>E34+F34</f>
        <v>102.9</v>
      </c>
    </row>
    <row r="35" spans="1:7" x14ac:dyDescent="0.45">
      <c r="A35" s="12" t="s">
        <v>982</v>
      </c>
      <c r="B35" s="3" t="s">
        <v>366</v>
      </c>
      <c r="C35" s="12" t="s">
        <v>73</v>
      </c>
      <c r="E35" s="71">
        <f>Rev_Build!T25</f>
        <v>2.6116504854368932E-2</v>
      </c>
      <c r="F35" s="71">
        <f>Rev_Build!U25</f>
        <v>2.595330739299611E-2</v>
      </c>
    </row>
    <row r="36" spans="1:7" x14ac:dyDescent="0.45">
      <c r="A36" s="12" t="s">
        <v>983</v>
      </c>
      <c r="B36" s="3" t="s">
        <v>374</v>
      </c>
      <c r="C36" s="12" t="s">
        <v>73</v>
      </c>
      <c r="E36" s="71">
        <f>Rev_Build!T29</f>
        <v>2.0038834951456311E-2</v>
      </c>
      <c r="F36" s="71">
        <f>Rev_Build!U29</f>
        <v>2.0155642023346302E-2</v>
      </c>
    </row>
    <row r="37" spans="1:7" x14ac:dyDescent="0.45">
      <c r="A37" s="12" t="s">
        <v>984</v>
      </c>
      <c r="B37" s="3" t="s">
        <v>370</v>
      </c>
      <c r="C37" s="12" t="s">
        <v>70</v>
      </c>
      <c r="E37" s="13">
        <f>Rev_Build!T27</f>
        <v>1345</v>
      </c>
      <c r="F37" s="13">
        <f>Rev_Build!U27</f>
        <v>1334</v>
      </c>
      <c r="G37" s="50">
        <f>E37+F37</f>
        <v>2679</v>
      </c>
    </row>
    <row r="38" spans="1:7" x14ac:dyDescent="0.45">
      <c r="A38" s="12" t="s">
        <v>985</v>
      </c>
      <c r="B38" s="3" t="s">
        <v>391</v>
      </c>
      <c r="C38" s="12" t="s">
        <v>73</v>
      </c>
      <c r="E38" s="15">
        <f>Rev_Build!T40</f>
        <v>0.72540983606557374</v>
      </c>
      <c r="F38" s="15">
        <f>Rev_Build!U40</f>
        <v>0.73828125</v>
      </c>
    </row>
    <row r="39" spans="1:7" x14ac:dyDescent="0.45">
      <c r="A39" s="12" t="s">
        <v>986</v>
      </c>
      <c r="B39" s="3" t="s">
        <v>98</v>
      </c>
      <c r="C39" s="12" t="s">
        <v>70</v>
      </c>
      <c r="E39" s="13">
        <f>Rev_Build!T42</f>
        <v>177</v>
      </c>
      <c r="F39" s="13">
        <f>Rev_Build!U42</f>
        <v>189</v>
      </c>
      <c r="G39" s="50">
        <f t="shared" ref="G39:G48" si="0">E39+F39</f>
        <v>366</v>
      </c>
    </row>
    <row r="40" spans="1:7" x14ac:dyDescent="0.45">
      <c r="A40" s="12" t="s">
        <v>987</v>
      </c>
      <c r="B40" s="3" t="s">
        <v>99</v>
      </c>
      <c r="C40" s="12" t="s">
        <v>70</v>
      </c>
      <c r="E40" s="13">
        <f>Rev_Build!T45</f>
        <v>313</v>
      </c>
      <c r="F40" s="13">
        <f>Rev_Build!U45</f>
        <v>298</v>
      </c>
      <c r="G40" s="50">
        <f t="shared" si="0"/>
        <v>611</v>
      </c>
    </row>
    <row r="41" spans="1:7" x14ac:dyDescent="0.45">
      <c r="A41" s="12" t="s">
        <v>988</v>
      </c>
      <c r="B41" s="3" t="s">
        <v>427</v>
      </c>
      <c r="C41" s="12" t="s">
        <v>70</v>
      </c>
      <c r="E41" s="13">
        <f>Rev_Build!T60</f>
        <v>15</v>
      </c>
      <c r="F41" s="13">
        <f>Rev_Build!U60</f>
        <v>16</v>
      </c>
      <c r="G41" s="50">
        <f t="shared" si="0"/>
        <v>31</v>
      </c>
    </row>
    <row r="42" spans="1:7" x14ac:dyDescent="0.45">
      <c r="A42" s="12" t="s">
        <v>989</v>
      </c>
      <c r="B42" s="4" t="s">
        <v>429</v>
      </c>
      <c r="C42" s="12" t="s">
        <v>70</v>
      </c>
      <c r="E42" s="48">
        <f>Rev_Build!T61</f>
        <v>505</v>
      </c>
      <c r="F42" s="48">
        <f>Rev_Build!U61</f>
        <v>503</v>
      </c>
      <c r="G42" s="49">
        <f t="shared" si="0"/>
        <v>1008</v>
      </c>
    </row>
    <row r="43" spans="1:7" x14ac:dyDescent="0.45">
      <c r="A43" s="12" t="s">
        <v>990</v>
      </c>
      <c r="B43" s="3" t="s">
        <v>414</v>
      </c>
      <c r="C43" s="12" t="s">
        <v>70</v>
      </c>
      <c r="E43" s="13">
        <f>Rev_Build!T53</f>
        <v>-51</v>
      </c>
      <c r="F43" s="13">
        <f>Rev_Build!U53</f>
        <v>-57</v>
      </c>
      <c r="G43" s="50">
        <f t="shared" si="0"/>
        <v>-108</v>
      </c>
    </row>
    <row r="44" spans="1:7" x14ac:dyDescent="0.45">
      <c r="A44" s="12" t="s">
        <v>991</v>
      </c>
      <c r="B44" s="3" t="s">
        <v>480</v>
      </c>
      <c r="C44" s="12" t="s">
        <v>70</v>
      </c>
      <c r="E44" s="13">
        <f>IS!T38</f>
        <v>128</v>
      </c>
      <c r="F44" s="13">
        <f>IS!U38</f>
        <v>139</v>
      </c>
      <c r="G44" s="50">
        <f t="shared" si="0"/>
        <v>267</v>
      </c>
    </row>
    <row r="45" spans="1:7" x14ac:dyDescent="0.45">
      <c r="A45" s="12" t="s">
        <v>992</v>
      </c>
      <c r="B45" s="3" t="s">
        <v>486</v>
      </c>
      <c r="C45" s="12" t="s">
        <v>70</v>
      </c>
      <c r="E45" s="13">
        <f>IS!T41</f>
        <v>73</v>
      </c>
      <c r="F45" s="13">
        <f>IS!U41</f>
        <v>74</v>
      </c>
      <c r="G45" s="50">
        <f t="shared" si="0"/>
        <v>147</v>
      </c>
    </row>
    <row r="46" spans="1:7" x14ac:dyDescent="0.45">
      <c r="A46" s="12" t="s">
        <v>993</v>
      </c>
      <c r="B46" s="3" t="s">
        <v>488</v>
      </c>
      <c r="C46" s="12" t="s">
        <v>70</v>
      </c>
      <c r="E46" s="13">
        <f>IS!T42</f>
        <v>78</v>
      </c>
      <c r="F46" s="13">
        <f>IS!U42</f>
        <v>69</v>
      </c>
      <c r="G46" s="50">
        <f t="shared" si="0"/>
        <v>147</v>
      </c>
    </row>
    <row r="47" spans="1:7" x14ac:dyDescent="0.45">
      <c r="A47" s="12" t="s">
        <v>994</v>
      </c>
      <c r="B47" s="4" t="s">
        <v>995</v>
      </c>
      <c r="C47" s="12" t="s">
        <v>70</v>
      </c>
      <c r="E47" s="48">
        <f>IS!T57</f>
        <v>175</v>
      </c>
      <c r="F47" s="48">
        <f>IS!U57</f>
        <v>164</v>
      </c>
      <c r="G47" s="49">
        <f t="shared" si="0"/>
        <v>339</v>
      </c>
    </row>
    <row r="48" spans="1:7" x14ac:dyDescent="0.45">
      <c r="A48" s="12" t="s">
        <v>996</v>
      </c>
      <c r="B48" s="3" t="s">
        <v>997</v>
      </c>
      <c r="C48" s="12" t="s">
        <v>70</v>
      </c>
      <c r="E48" s="13">
        <f>IS!T54</f>
        <v>176</v>
      </c>
      <c r="F48" s="13">
        <f>IS!U54</f>
        <v>163</v>
      </c>
      <c r="G48" s="50">
        <f t="shared" si="0"/>
        <v>339</v>
      </c>
    </row>
    <row r="49" spans="1:7" x14ac:dyDescent="0.45">
      <c r="A49" s="21"/>
      <c r="B49" s="22" t="s">
        <v>998</v>
      </c>
      <c r="C49" s="21"/>
      <c r="D49" s="21"/>
      <c r="E49" s="21"/>
      <c r="F49" s="21"/>
      <c r="G49" s="21"/>
    </row>
    <row r="50" spans="1:7" x14ac:dyDescent="0.45">
      <c r="A50" s="12" t="s">
        <v>999</v>
      </c>
      <c r="B50" s="3" t="s">
        <v>338</v>
      </c>
      <c r="C50" s="12" t="s">
        <v>73</v>
      </c>
      <c r="E50" s="51">
        <f>E7/E29-1</f>
        <v>-4.7483380816712994E-3</v>
      </c>
      <c r="F50" s="51">
        <f>F7/F29-1</f>
        <v>-9.0334236675698731E-3</v>
      </c>
      <c r="G50" s="51">
        <f>G7/G29-1</f>
        <v>-9.0334236675698731E-3</v>
      </c>
    </row>
    <row r="51" spans="1:7" x14ac:dyDescent="0.45">
      <c r="A51" s="12" t="s">
        <v>1000</v>
      </c>
      <c r="B51" s="3" t="s">
        <v>622</v>
      </c>
      <c r="C51" s="12" t="s">
        <v>73</v>
      </c>
      <c r="E51" s="51">
        <f>E10/E32-1</f>
        <v>4.7616574125976641E-2</v>
      </c>
      <c r="F51" s="51">
        <f>F10/F32-1</f>
        <v>4.7819105640669823E-2</v>
      </c>
      <c r="G51" s="51">
        <f>G10/G32-1</f>
        <v>4.7720270261499609E-2</v>
      </c>
    </row>
    <row r="52" spans="1:7" x14ac:dyDescent="0.45">
      <c r="A52" s="12" t="s">
        <v>1001</v>
      </c>
      <c r="B52" s="3" t="s">
        <v>806</v>
      </c>
      <c r="C52" s="12" t="s">
        <v>73</v>
      </c>
      <c r="E52" s="51">
        <f>E15/E37-1</f>
        <v>-2.1497751750463756E-2</v>
      </c>
      <c r="F52" s="51">
        <f>F15/F37-1</f>
        <v>-6.7376560458554113E-4</v>
      </c>
      <c r="G52" s="51">
        <f>G15/G37-1</f>
        <v>-1.1128510422131699E-2</v>
      </c>
    </row>
    <row r="53" spans="1:7" x14ac:dyDescent="0.45">
      <c r="A53" s="12" t="s">
        <v>1002</v>
      </c>
      <c r="B53" s="3" t="s">
        <v>961</v>
      </c>
      <c r="C53" s="12" t="s">
        <v>73</v>
      </c>
      <c r="E53" s="51">
        <f>E20/E42-1</f>
        <v>-1.7721637708318916E-2</v>
      </c>
      <c r="F53" s="51">
        <f>F20/F42-1</f>
        <v>1.3647831729702853E-2</v>
      </c>
      <c r="G53" s="51">
        <f>G20/G42-1</f>
        <v>-2.0680234947028087E-3</v>
      </c>
    </row>
    <row r="54" spans="1:7" x14ac:dyDescent="0.45">
      <c r="A54" s="12" t="s">
        <v>1003</v>
      </c>
      <c r="B54" s="4" t="s">
        <v>1004</v>
      </c>
      <c r="C54" s="12" t="s">
        <v>73</v>
      </c>
      <c r="E54" s="72">
        <f>E26/E48-1</f>
        <v>0.14503274766538166</v>
      </c>
      <c r="F54" s="72">
        <f>F26/F48-1</f>
        <v>0.27971026566500412</v>
      </c>
      <c r="G54" s="72">
        <f>G26/G48-1</f>
        <v>0.20978919437316468</v>
      </c>
    </row>
    <row r="55" spans="1:7" x14ac:dyDescent="0.45">
      <c r="A55" s="21"/>
      <c r="B55" s="22" t="s">
        <v>1005</v>
      </c>
      <c r="C55" s="21"/>
      <c r="D55" s="21"/>
      <c r="E55" s="21"/>
      <c r="F55" s="21"/>
      <c r="G55" s="21"/>
    </row>
    <row r="56" spans="1:7" x14ac:dyDescent="0.45">
      <c r="A56" s="12" t="s">
        <v>1006</v>
      </c>
      <c r="B56" s="57" t="s">
        <v>1007</v>
      </c>
      <c r="C56" s="12" t="s">
        <v>70</v>
      </c>
      <c r="E56" s="50">
        <f>(E30-E8)*(E9*MonthsPerQuarter/Mn*E16+E11/Mn*MnPerBn*(E13-E14))</f>
        <v>1.1701284146489788</v>
      </c>
      <c r="F56" s="50">
        <f>(F30-F8)*(F9*MonthsPerQuarter/Mn*F16+F11/Mn*MnPerBn*(F13-F14))</f>
        <v>3.4466074081121203</v>
      </c>
      <c r="G56" s="50">
        <f t="shared" ref="G56:G67" si="1">E56+F56</f>
        <v>4.6167358227610986</v>
      </c>
    </row>
    <row r="57" spans="1:7" x14ac:dyDescent="0.45">
      <c r="A57" s="12" t="s">
        <v>1008</v>
      </c>
      <c r="B57" s="57" t="s">
        <v>1009</v>
      </c>
      <c r="C57" s="12" t="s">
        <v>70</v>
      </c>
      <c r="E57" s="50">
        <f>E30*(E31-E9)*MonthsPerQuarter/Mn*E16</f>
        <v>-8.5922318645210112</v>
      </c>
      <c r="F57" s="50">
        <f>F30*(F31-F9)*MonthsPerQuarter/Mn*F16</f>
        <v>-9.907923140372942</v>
      </c>
      <c r="G57" s="50">
        <f t="shared" si="1"/>
        <v>-18.500155004893955</v>
      </c>
    </row>
    <row r="58" spans="1:7" x14ac:dyDescent="0.45">
      <c r="A58" s="12" t="s">
        <v>1010</v>
      </c>
      <c r="B58" s="57" t="s">
        <v>391</v>
      </c>
      <c r="C58" s="12" t="s">
        <v>70</v>
      </c>
      <c r="E58" s="50">
        <f>E32*(E38-E16)</f>
        <v>5.756363636363611</v>
      </c>
      <c r="F58" s="50">
        <f>F32*(F38-F16)</f>
        <v>9.3345454545454345</v>
      </c>
      <c r="G58" s="50">
        <f t="shared" si="1"/>
        <v>15.090909090909046</v>
      </c>
    </row>
    <row r="59" spans="1:7" x14ac:dyDescent="0.45">
      <c r="A59" s="12" t="s">
        <v>1011</v>
      </c>
      <c r="B59" s="57" t="s">
        <v>1012</v>
      </c>
      <c r="C59" s="12" t="s">
        <v>70</v>
      </c>
      <c r="E59" s="50">
        <f>E30*(E33-E11)/Mn*MnPerBn*(E13-E14)</f>
        <v>3.3058894507011218</v>
      </c>
      <c r="F59" s="50">
        <f>F30*(F33-F11)/Mn*MnPerBn*(F13-F14)</f>
        <v>0.28277185433948265</v>
      </c>
      <c r="G59" s="50">
        <f t="shared" si="1"/>
        <v>3.5886613050406044</v>
      </c>
    </row>
    <row r="60" spans="1:7" x14ac:dyDescent="0.45">
      <c r="A60" s="12" t="s">
        <v>1013</v>
      </c>
      <c r="B60" s="57" t="s">
        <v>1014</v>
      </c>
      <c r="C60" s="12" t="s">
        <v>70</v>
      </c>
      <c r="E60" s="50">
        <f>E34*MnPerBn*(E35-E13)</f>
        <v>11.18023043155333</v>
      </c>
      <c r="F60" s="50">
        <f>F34*MnPerBn*(F35-F13)</f>
        <v>-9.6611192544821733</v>
      </c>
      <c r="G60" s="50">
        <f t="shared" si="1"/>
        <v>1.5191111770711565</v>
      </c>
    </row>
    <row r="61" spans="1:7" x14ac:dyDescent="0.45">
      <c r="A61" s="12" t="s">
        <v>1015</v>
      </c>
      <c r="B61" s="57" t="s">
        <v>1016</v>
      </c>
      <c r="C61" s="12" t="s">
        <v>70</v>
      </c>
      <c r="E61" s="50">
        <f>-E34*MnPerBn*(E36-E14)</f>
        <v>-1.8709530260450149</v>
      </c>
      <c r="F61" s="50">
        <f>-F34*MnPerBn*(F36-F14)</f>
        <v>0.64025831781769771</v>
      </c>
      <c r="G61" s="50">
        <f t="shared" si="1"/>
        <v>-1.2306947082273172</v>
      </c>
    </row>
    <row r="62" spans="1:7" x14ac:dyDescent="0.45">
      <c r="A62" s="12" t="s">
        <v>1017</v>
      </c>
      <c r="B62" s="57" t="s">
        <v>1018</v>
      </c>
      <c r="C62" s="12" t="s">
        <v>70</v>
      </c>
      <c r="E62" s="50">
        <f>E41-E19</f>
        <v>-2</v>
      </c>
      <c r="F62" s="50">
        <f>F41-F19</f>
        <v>-1</v>
      </c>
      <c r="G62" s="50">
        <f t="shared" si="1"/>
        <v>-3</v>
      </c>
    </row>
    <row r="63" spans="1:7" x14ac:dyDescent="0.45">
      <c r="A63" s="12" t="s">
        <v>1019</v>
      </c>
      <c r="B63" s="57" t="s">
        <v>822</v>
      </c>
      <c r="C63" s="12" t="s">
        <v>70</v>
      </c>
      <c r="E63" s="50">
        <f>E43-E21</f>
        <v>-8.7407407407407405</v>
      </c>
      <c r="F63" s="50">
        <f>F43-F21</f>
        <v>-14.74074074074074</v>
      </c>
      <c r="G63" s="50">
        <f t="shared" si="1"/>
        <v>-23.481481481481481</v>
      </c>
    </row>
    <row r="64" spans="1:7" x14ac:dyDescent="0.45">
      <c r="A64" s="12" t="s">
        <v>1020</v>
      </c>
      <c r="B64" s="57" t="s">
        <v>1021</v>
      </c>
      <c r="C64" s="12" t="s">
        <v>70</v>
      </c>
      <c r="E64" s="50">
        <f t="shared" ref="E64:F66" si="2">-(E44-E23)</f>
        <v>-4.0601851851851762</v>
      </c>
      <c r="F64" s="50">
        <f t="shared" si="2"/>
        <v>-11.430555555555543</v>
      </c>
      <c r="G64" s="50">
        <f t="shared" si="1"/>
        <v>-15.490740740740719</v>
      </c>
    </row>
    <row r="65" spans="1:7" x14ac:dyDescent="0.45">
      <c r="A65" s="12" t="s">
        <v>1022</v>
      </c>
      <c r="B65" s="57" t="s">
        <v>1023</v>
      </c>
      <c r="C65" s="12" t="s">
        <v>70</v>
      </c>
      <c r="E65" s="50">
        <f t="shared" si="2"/>
        <v>-4.4117647058823479</v>
      </c>
      <c r="F65" s="50">
        <f t="shared" si="2"/>
        <v>-2.294117647058826</v>
      </c>
      <c r="G65" s="50">
        <f t="shared" si="1"/>
        <v>-6.705882352941174</v>
      </c>
    </row>
    <row r="66" spans="1:7" x14ac:dyDescent="0.45">
      <c r="A66" s="12" t="s">
        <v>1024</v>
      </c>
      <c r="B66" s="57" t="s">
        <v>1025</v>
      </c>
      <c r="C66" s="12" t="s">
        <v>70</v>
      </c>
      <c r="E66" s="50">
        <f t="shared" si="2"/>
        <v>-18.262500000000003</v>
      </c>
      <c r="F66" s="50">
        <f t="shared" si="2"/>
        <v>-9.2625000000000028</v>
      </c>
      <c r="G66" s="50">
        <f t="shared" si="1"/>
        <v>-27.525000000000006</v>
      </c>
    </row>
    <row r="67" spans="1:7" x14ac:dyDescent="0.45">
      <c r="A67" s="12" t="s">
        <v>1026</v>
      </c>
      <c r="B67" s="4" t="s">
        <v>1027</v>
      </c>
      <c r="C67" s="12" t="s">
        <v>70</v>
      </c>
      <c r="E67" s="56">
        <f>E56+E57+E58+E59+E60+E61+E62+E63+E64+E65+E66</f>
        <v>-26.525763589107253</v>
      </c>
      <c r="F67" s="56">
        <f>F56+F57+F58+F59+F60+F61+F62+F63+F64+F65+F66</f>
        <v>-44.592773303395489</v>
      </c>
      <c r="G67" s="56">
        <f t="shared" si="1"/>
        <v>-71.118536892502746</v>
      </c>
    </row>
    <row r="68" spans="1:7" x14ac:dyDescent="0.45">
      <c r="A68" s="12" t="s">
        <v>1028</v>
      </c>
      <c r="B68" s="3" t="s">
        <v>1029</v>
      </c>
      <c r="C68" s="12" t="s">
        <v>70</v>
      </c>
      <c r="E68" s="60">
        <f>ROUND(E67-(E47-E26),6)</f>
        <v>0</v>
      </c>
      <c r="F68" s="60">
        <f>ROUND(F67-(F47-F26),6)</f>
        <v>0</v>
      </c>
      <c r="G68" s="60">
        <f>ROUND(G67-(G47-G26),6)</f>
        <v>0</v>
      </c>
    </row>
    <row r="69" spans="1:7" x14ac:dyDescent="0.45">
      <c r="A69" s="21"/>
      <c r="B69" s="22" t="s">
        <v>1030</v>
      </c>
      <c r="C69" s="21"/>
      <c r="D69" s="21"/>
      <c r="E69" s="21"/>
      <c r="F69" s="21"/>
      <c r="G69" s="21"/>
    </row>
    <row r="70" spans="1:7" x14ac:dyDescent="0.45">
      <c r="A70" s="12" t="s">
        <v>1031</v>
      </c>
      <c r="B70" s="3" t="s">
        <v>1032</v>
      </c>
      <c r="C70" s="12" t="s">
        <v>70</v>
      </c>
      <c r="E70" s="50">
        <f>AVERAGE(SUMIFS(Src_Val,Src_Key,"guide_ebitda_low",Src_PK,"Q3-2025@2025-08-05"),SUMIFS(Src_Val,Src_Key,"guide_ebitda_high",Src_PK,"Q3-2025@2025-08-05"))</f>
        <v>145</v>
      </c>
      <c r="F70" s="50"/>
      <c r="G70" s="13">
        <f>AVERAGE(SUMIFS(Src_Val,Src_Key,"guide_ebitda_low",Src_PK,"FY-2025@2025-08-05"),SUMIFS(Src_Val,Src_Key,"guide_ebitda_high",Src_PK,"FY-2025@2025-08-05"))-SUM(IS!R54,IS!S54)</f>
        <v>281</v>
      </c>
    </row>
    <row r="71" spans="1:7" x14ac:dyDescent="0.45">
      <c r="A71" s="12" t="s">
        <v>1033</v>
      </c>
      <c r="B71" s="3" t="s">
        <v>1034</v>
      </c>
      <c r="C71" s="12" t="s">
        <v>70</v>
      </c>
      <c r="E71" s="50">
        <f>AVERAGE(SUMIFS(Src_Val,Src_Key,"guide_rgp_low",Src_PK,"Q3-2025@2025-08-05"),SUMIFS(Src_Val,Src_Key,"guide_rgp_high",Src_PK,"Q3-2025@2025-08-05"))</f>
        <v>470</v>
      </c>
      <c r="F71" s="50"/>
      <c r="G71" s="13">
        <f>AVERAGE(SUMIFS(Src_Val,Src_Key,"guide_rgp_low",Src_PK,"FY-2025@2025-08-05"),SUMIFS(Src_Val,Src_Key,"guide_rgp_high",Src_PK,"FY-2025@2025-08-05"))-SUM(Rev_Build!R61,Rev_Build!S61)</f>
        <v>946</v>
      </c>
    </row>
    <row r="72" spans="1:7" x14ac:dyDescent="0.45">
      <c r="A72" s="12" t="s">
        <v>1035</v>
      </c>
      <c r="B72" s="3" t="s">
        <v>1036</v>
      </c>
      <c r="C72" s="12" t="s">
        <v>73</v>
      </c>
      <c r="E72" s="51">
        <f>E70/E48-1</f>
        <v>-0.17613636363636365</v>
      </c>
      <c r="F72" s="51"/>
      <c r="G72" s="51">
        <f>G70/G48-1</f>
        <v>-0.17109144542772858</v>
      </c>
    </row>
    <row r="73" spans="1:7" x14ac:dyDescent="0.45">
      <c r="A73" s="12" t="s">
        <v>1037</v>
      </c>
      <c r="B73" s="3" t="s">
        <v>1038</v>
      </c>
      <c r="C73" s="12" t="s">
        <v>73</v>
      </c>
      <c r="E73" s="51">
        <f>E71/E42-1</f>
        <v>-6.9306930693069257E-2</v>
      </c>
      <c r="F73" s="51"/>
      <c r="G73" s="51">
        <f>G71/G42-1</f>
        <v>-6.1507936507936511E-2</v>
      </c>
    </row>
    <row r="74" spans="1:7" x14ac:dyDescent="0.45">
      <c r="A74" s="21"/>
      <c r="B74" s="22" t="s">
        <v>1039</v>
      </c>
      <c r="C74" s="21"/>
      <c r="D74" s="21"/>
      <c r="E74" s="21"/>
      <c r="F74" s="21"/>
      <c r="G74" s="21"/>
    </row>
    <row r="75" spans="1:7" x14ac:dyDescent="0.45">
      <c r="A75" s="12" t="s">
        <v>1040</v>
      </c>
      <c r="B75" s="3" t="s">
        <v>938</v>
      </c>
      <c r="C75" s="12" t="s">
        <v>65</v>
      </c>
      <c r="E75" s="13">
        <f>Rev_Build!T11*SUM(Rev_Build!T11:W11)/SUM(Rev_Build!P11:S11)</f>
        <v>9142.8571428571431</v>
      </c>
      <c r="F75" s="13">
        <f>Rev_Build!U11*SUM(Rev_Build!T11:W11)/SUM(Rev_Build!P11:S11)</f>
        <v>9142.8571428571431</v>
      </c>
      <c r="G75" s="50">
        <f>E75+F75</f>
        <v>18285.714285714286</v>
      </c>
    </row>
    <row r="76" spans="1:7" x14ac:dyDescent="0.45">
      <c r="A76" s="12" t="s">
        <v>1041</v>
      </c>
      <c r="B76" s="3" t="s">
        <v>940</v>
      </c>
      <c r="C76" s="12" t="s">
        <v>65</v>
      </c>
      <c r="E76" s="13">
        <f>Rev_Build!W10+E75</f>
        <v>189142.85714285713</v>
      </c>
      <c r="F76" s="50">
        <f>E76+F75</f>
        <v>198285.71428571426</v>
      </c>
      <c r="G76" s="50">
        <f>F76</f>
        <v>198285.71428571426</v>
      </c>
    </row>
    <row r="77" spans="1:7" x14ac:dyDescent="0.45">
      <c r="A77" s="12" t="s">
        <v>1042</v>
      </c>
      <c r="B77" s="3" t="s">
        <v>757</v>
      </c>
      <c r="C77" s="12" t="s">
        <v>65</v>
      </c>
      <c r="E77" s="13">
        <f>AVERAGE(Rev_Build!W10,E76)</f>
        <v>184571.42857142858</v>
      </c>
      <c r="F77" s="50">
        <f>AVERAGE(E76,F76)</f>
        <v>193714.28571428568</v>
      </c>
    </row>
    <row r="78" spans="1:7" x14ac:dyDescent="0.45">
      <c r="A78" s="12" t="s">
        <v>1043</v>
      </c>
      <c r="B78" s="3" t="s">
        <v>1044</v>
      </c>
      <c r="C78" s="12" t="s">
        <v>347</v>
      </c>
      <c r="E78" s="13">
        <f>Rev_Build!T15*(1+Rev_Build!W16)</f>
        <v>560.89619734414543</v>
      </c>
      <c r="F78" s="13">
        <f>Rev_Build!U15*(1+Rev_Build!W16)</f>
        <v>559.057193418427</v>
      </c>
    </row>
    <row r="79" spans="1:7" x14ac:dyDescent="0.45">
      <c r="A79" s="12" t="s">
        <v>1045</v>
      </c>
      <c r="B79" s="3" t="s">
        <v>622</v>
      </c>
      <c r="C79" s="12" t="s">
        <v>70</v>
      </c>
      <c r="E79" s="50">
        <f>E77*E78*MonthsPerQuarter/Mn</f>
        <v>310.57623727227252</v>
      </c>
      <c r="F79" s="50">
        <f>F77*F78*MonthsPerQuarter/Mn</f>
        <v>324.89209468945154</v>
      </c>
      <c r="G79" s="50">
        <f>E79+F79</f>
        <v>635.46833196172406</v>
      </c>
    </row>
    <row r="80" spans="1:7" x14ac:dyDescent="0.45">
      <c r="A80" s="12" t="s">
        <v>1046</v>
      </c>
      <c r="B80" s="3" t="s">
        <v>1047</v>
      </c>
      <c r="C80" s="12" t="s">
        <v>355</v>
      </c>
      <c r="E80" s="14">
        <f>Rev_Build!T19*(1+Rev_Build!W20)</f>
        <v>338.17161989295727</v>
      </c>
      <c r="F80" s="14">
        <f>Rev_Build!U19*(1+Rev_Build!W20)</f>
        <v>320.63922717229326</v>
      </c>
    </row>
    <row r="81" spans="1:7" x14ac:dyDescent="0.45">
      <c r="A81" s="12" t="s">
        <v>1048</v>
      </c>
      <c r="B81" s="3" t="s">
        <v>948</v>
      </c>
      <c r="C81" s="12" t="s">
        <v>68</v>
      </c>
      <c r="E81" s="52">
        <f>E80*E77/Mn</f>
        <v>62.416818985957256</v>
      </c>
      <c r="F81" s="52">
        <f>F80*F77/Mn</f>
        <v>62.112398863661369</v>
      </c>
      <c r="G81" s="52">
        <f>E81+F81</f>
        <v>124.52921784961862</v>
      </c>
    </row>
    <row r="82" spans="1:7" x14ac:dyDescent="0.45">
      <c r="A82" s="12" t="s">
        <v>1049</v>
      </c>
      <c r="B82" s="3" t="s">
        <v>1050</v>
      </c>
      <c r="C82" s="12" t="s">
        <v>73</v>
      </c>
      <c r="E82" s="71">
        <f>Rev_Build!T25+Rev_Build!W26/BpsPerUnit</f>
        <v>2.6410271960244605E-2</v>
      </c>
      <c r="F82" s="71">
        <f>Rev_Build!U25+Rev_Build!W26/BpsPerUnit</f>
        <v>2.6247074498871783E-2</v>
      </c>
    </row>
    <row r="83" spans="1:7" x14ac:dyDescent="0.45">
      <c r="A83" s="12" t="s">
        <v>1051</v>
      </c>
      <c r="B83" s="3" t="s">
        <v>1052</v>
      </c>
      <c r="C83" s="12" t="s">
        <v>73</v>
      </c>
      <c r="E83" s="71">
        <f>Rev_Build!T29+Rev_Build!W30/BpsPerUnit</f>
        <v>2.0109652038678531E-2</v>
      </c>
      <c r="F83" s="71">
        <f>Rev_Build!U29+Rev_Build!W30/BpsPerUnit</f>
        <v>2.0226459110568522E-2</v>
      </c>
    </row>
    <row r="84" spans="1:7" x14ac:dyDescent="0.45">
      <c r="A84" s="12" t="s">
        <v>1053</v>
      </c>
      <c r="B84" s="3" t="s">
        <v>806</v>
      </c>
      <c r="C84" s="12" t="s">
        <v>70</v>
      </c>
      <c r="E84" s="50">
        <f>E81*MnPerBn*E82</f>
        <v>1648.4451643124901</v>
      </c>
      <c r="F84" s="50">
        <f>F81*MnPerBn*F82</f>
        <v>1630.2687602781591</v>
      </c>
      <c r="G84" s="50">
        <f>E84+F84</f>
        <v>3278.7139245906492</v>
      </c>
    </row>
    <row r="85" spans="1:7" x14ac:dyDescent="0.45">
      <c r="A85" s="12" t="s">
        <v>1054</v>
      </c>
      <c r="B85" s="3" t="s">
        <v>955</v>
      </c>
      <c r="C85" s="12" t="s">
        <v>73</v>
      </c>
      <c r="E85" s="15">
        <f>1-SUM(Rev_Build!T41:W41)/SUM(Rev_Build!T17:W17)</f>
        <v>0.75614366729678639</v>
      </c>
      <c r="F85" s="15">
        <f>1-SUM(Rev_Build!T41:W41)/SUM(Rev_Build!T17:W17)</f>
        <v>0.75614366729678639</v>
      </c>
    </row>
    <row r="86" spans="1:7" x14ac:dyDescent="0.45">
      <c r="A86" s="12" t="s">
        <v>1055</v>
      </c>
      <c r="B86" s="3" t="s">
        <v>98</v>
      </c>
      <c r="C86" s="12" t="s">
        <v>70</v>
      </c>
      <c r="E86" s="50">
        <f>E79*E85</f>
        <v>234.84025502629302</v>
      </c>
      <c r="F86" s="50">
        <f>F79*F85</f>
        <v>245.66509995421666</v>
      </c>
      <c r="G86" s="50">
        <f>E86+F86</f>
        <v>480.50535498050965</v>
      </c>
    </row>
    <row r="87" spans="1:7" x14ac:dyDescent="0.45">
      <c r="A87" s="12" t="s">
        <v>1056</v>
      </c>
      <c r="B87" s="3" t="s">
        <v>99</v>
      </c>
      <c r="C87" s="12" t="s">
        <v>70</v>
      </c>
      <c r="E87" s="50">
        <f>E81*MnPerBn*(E82-E83)</f>
        <v>393.26465314370586</v>
      </c>
      <c r="F87" s="50">
        <f>F81*MnPerBn*(F82-F83)</f>
        <v>373.95486440298964</v>
      </c>
      <c r="G87" s="50">
        <f>E87+F87</f>
        <v>767.21951754669544</v>
      </c>
    </row>
    <row r="88" spans="1:7" x14ac:dyDescent="0.45">
      <c r="A88" s="12" t="s">
        <v>1057</v>
      </c>
      <c r="B88" s="3" t="s">
        <v>1058</v>
      </c>
      <c r="C88" s="12" t="s">
        <v>70</v>
      </c>
      <c r="E88" s="13">
        <f>Rev_Build!W60</f>
        <v>10</v>
      </c>
      <c r="F88" s="13">
        <f>Rev_Build!W60</f>
        <v>10</v>
      </c>
      <c r="G88" s="50">
        <f>E88+F88</f>
        <v>20</v>
      </c>
    </row>
    <row r="89" spans="1:7" x14ac:dyDescent="0.45">
      <c r="A89" s="12" t="s">
        <v>1059</v>
      </c>
      <c r="B89" s="4" t="s">
        <v>961</v>
      </c>
      <c r="C89" s="12" t="s">
        <v>70</v>
      </c>
      <c r="E89" s="49">
        <f>E86+E87+E88</f>
        <v>638.10490816999891</v>
      </c>
      <c r="F89" s="49">
        <f>F86+F87+F88</f>
        <v>629.6199643572063</v>
      </c>
      <c r="G89" s="49">
        <f>E89+F89</f>
        <v>1267.7248725272052</v>
      </c>
    </row>
    <row r="90" spans="1:7" x14ac:dyDescent="0.45">
      <c r="A90" s="12" t="s">
        <v>1060</v>
      </c>
      <c r="B90" s="3" t="s">
        <v>963</v>
      </c>
      <c r="C90" s="12" t="s">
        <v>70</v>
      </c>
      <c r="E90" s="13">
        <f>E75*SUM(Rev_Build!T53:W53)/SUM(Rev_Build!T11:W11)</f>
        <v>-68.571428571428584</v>
      </c>
      <c r="F90" s="13">
        <f>F75*SUM(Rev_Build!T53:W53)/SUM(Rev_Build!T11:W11)</f>
        <v>-68.571428571428584</v>
      </c>
      <c r="G90" s="50">
        <f>E90+F90</f>
        <v>-137.14285714285717</v>
      </c>
    </row>
    <row r="91" spans="1:7" x14ac:dyDescent="0.45">
      <c r="A91" s="12" t="s">
        <v>1061</v>
      </c>
      <c r="B91" s="3" t="s">
        <v>965</v>
      </c>
      <c r="C91" s="12" t="s">
        <v>193</v>
      </c>
      <c r="E91" s="14">
        <f>(SUM(IS!T38:W38)-INDEX(Drv_svc,1,1)*SUM(Rev_Build!T12:W12)/QuartersPerYear/Thousand)/SUM(Rev_Build!T11:W11)*Thousand</f>
        <v>7.265625</v>
      </c>
      <c r="F91" s="14">
        <f>(SUM(IS!T38:W38)-INDEX(Drv_svc,1,1)*SUM(Rev_Build!T12:W12)/QuartersPerYear/Thousand)/SUM(Rev_Build!T11:W11)*Thousand</f>
        <v>7.265625</v>
      </c>
    </row>
    <row r="92" spans="1:7" x14ac:dyDescent="0.45">
      <c r="A92" s="12" t="s">
        <v>1062</v>
      </c>
      <c r="B92" s="3" t="s">
        <v>967</v>
      </c>
      <c r="C92" s="12" t="s">
        <v>70</v>
      </c>
      <c r="E92" s="13">
        <f>INDEX(Drv_svc,1,1)*E77/QuartersPerYear/Thousand+AVERAGE(Rev_Build!T11:W11)*E91/Thousand</f>
        <v>150.41071428571428</v>
      </c>
      <c r="F92" s="13">
        <f>INDEX(Drv_svc,1,1)*F77/QuartersPerYear/Thousand+AVERAGE(Rev_Build!T11:W11)*F91/Thousand</f>
        <v>154.98214285714283</v>
      </c>
      <c r="G92" s="50">
        <f>E92+F92</f>
        <v>305.39285714285711</v>
      </c>
    </row>
    <row r="93" spans="1:7" x14ac:dyDescent="0.45">
      <c r="A93" s="12" t="s">
        <v>1063</v>
      </c>
      <c r="B93" s="3" t="s">
        <v>969</v>
      </c>
      <c r="C93" s="12" t="s">
        <v>70</v>
      </c>
      <c r="E93" s="13">
        <f>IS!T41*SUM(IS!T41:W41)/SUM(IS!P41:S41)</f>
        <v>84.018867924528308</v>
      </c>
      <c r="F93" s="13">
        <f>IS!U41*SUM(IS!T41:W41)/SUM(IS!P41:S41)</f>
        <v>85.169811320754718</v>
      </c>
      <c r="G93" s="50">
        <f>E93+F93</f>
        <v>169.18867924528303</v>
      </c>
    </row>
    <row r="94" spans="1:7" x14ac:dyDescent="0.45">
      <c r="A94" s="12" t="s">
        <v>1064</v>
      </c>
      <c r="B94" s="3" t="s">
        <v>971</v>
      </c>
      <c r="C94" s="12" t="s">
        <v>70</v>
      </c>
      <c r="E94" s="13">
        <f>IS!T42*SUM(IS!T42:W42)/SUM(IS!P42:S42)</f>
        <v>93.086419753086417</v>
      </c>
      <c r="F94" s="13">
        <f>IS!U42*SUM(IS!T42:W42)/SUM(IS!P42:S42)</f>
        <v>82.345679012345684</v>
      </c>
      <c r="G94" s="50">
        <f>E94+F94</f>
        <v>175.4320987654321</v>
      </c>
    </row>
    <row r="95" spans="1:7" x14ac:dyDescent="0.45">
      <c r="A95" s="12" t="s">
        <v>1065</v>
      </c>
      <c r="B95" s="4" t="s">
        <v>973</v>
      </c>
      <c r="C95" s="12" t="s">
        <v>70</v>
      </c>
      <c r="E95" s="56">
        <f>E89+E90-E92-E93-E94</f>
        <v>242.01747763524133</v>
      </c>
      <c r="F95" s="56">
        <f>F89+F90-F92-F93-F94</f>
        <v>238.55090259553452</v>
      </c>
      <c r="G95" s="56">
        <f>E95+F95</f>
        <v>480.56838023077586</v>
      </c>
    </row>
    <row r="96" spans="1:7" x14ac:dyDescent="0.45">
      <c r="A96" s="12" t="s">
        <v>1066</v>
      </c>
      <c r="B96" s="3" t="s">
        <v>1067</v>
      </c>
      <c r="C96" s="12" t="s">
        <v>70</v>
      </c>
      <c r="E96" s="50">
        <f>AVERAGE(SUMIFS(Src_Val,Src_Key,"guide_ebitda_low",Src_PK,"Q3-2026@2026-08-04"),SUMIFS(Src_Val,Src_Key,"guide_ebitda_high",Src_PK,"Q3-2026@2026-08-04"))</f>
        <v>215</v>
      </c>
      <c r="F96" s="50"/>
      <c r="G96" s="13">
        <f>AVERAGE(SUMIFS(Src_Val,Src_Key,"guide_ebitda_low",Src_PK,"FY-2026@2026-08-04"),SUMIFS(Src_Val,Src_Key,"guide_ebitda_high",Src_PK,"FY-2026@2026-08-04"))-SUM(IS!V54,IS!W54)</f>
        <v>415</v>
      </c>
    </row>
    <row r="97" spans="1:7" x14ac:dyDescent="0.45">
      <c r="A97" s="12" t="s">
        <v>1068</v>
      </c>
      <c r="B97" s="4" t="s">
        <v>1069</v>
      </c>
      <c r="C97" s="12" t="s">
        <v>70</v>
      </c>
      <c r="E97" s="73"/>
      <c r="F97" s="73"/>
      <c r="G97" s="49">
        <f>G96/(1+G72)</f>
        <v>500.65836298932385</v>
      </c>
    </row>
    <row r="98" spans="1:7" x14ac:dyDescent="0.45">
      <c r="A98" s="12" t="s">
        <v>1070</v>
      </c>
      <c r="B98" s="4" t="s">
        <v>1071</v>
      </c>
      <c r="C98" s="12" t="s">
        <v>70</v>
      </c>
      <c r="E98" s="73"/>
      <c r="F98" s="73"/>
      <c r="G98" s="49">
        <f>G95/(1+G54)</f>
        <v>397.23315637628559</v>
      </c>
    </row>
    <row r="99" spans="1:7" x14ac:dyDescent="0.45">
      <c r="A99" s="12" t="s">
        <v>1072</v>
      </c>
      <c r="B99" s="4" t="s">
        <v>1073</v>
      </c>
      <c r="C99" s="12" t="s">
        <v>70</v>
      </c>
      <c r="E99" s="48">
        <f>IS!X54</f>
        <v>244.23172876838197</v>
      </c>
      <c r="F99" s="48">
        <f>IS!Y54</f>
        <v>235.2925414852939</v>
      </c>
      <c r="G99" s="49">
        <f>E99+F99</f>
        <v>479.52427025367587</v>
      </c>
    </row>
  </sheetData>
  <pageMargins left="0.75" right="0.75" top="1" bottom="1" header="0.5" footer="0.5"/>
  <pageSetup fitToHeight="0"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C000"/>
    <pageSetUpPr fitToPage="1"/>
  </sheetPr>
  <dimension ref="A1:P35"/>
  <sheetViews>
    <sheetView showGridLines="0" zoomScale="90" workbookViewId="0">
      <pane ySplit="3" topLeftCell="A4" activePane="bottomLeft" state="frozen"/>
      <selection pane="bottomLeft"/>
    </sheetView>
  </sheetViews>
  <sheetFormatPr defaultRowHeight="14.25" x14ac:dyDescent="0.45"/>
  <cols>
    <col min="1" max="1" width="13" customWidth="1"/>
    <col min="2" max="2" width="50" customWidth="1"/>
    <col min="3" max="3" width="11" customWidth="1"/>
    <col min="4" max="4" width="3" customWidth="1"/>
    <col min="5" max="16" width="12" customWidth="1"/>
  </cols>
  <sheetData>
    <row r="1" spans="1:16" ht="18" x14ac:dyDescent="0.55000000000000004">
      <c r="A1" s="1" t="s">
        <v>1074</v>
      </c>
    </row>
    <row r="2" spans="1:16" x14ac:dyDescent="0.45">
      <c r="A2" s="2" t="s">
        <v>1075</v>
      </c>
    </row>
    <row r="4" spans="1:16" x14ac:dyDescent="0.45">
      <c r="A4" s="21"/>
      <c r="B4" s="22" t="s">
        <v>1076</v>
      </c>
      <c r="C4" s="21"/>
      <c r="D4" s="21"/>
      <c r="E4" s="21"/>
      <c r="F4" s="21"/>
      <c r="G4" s="21"/>
      <c r="H4" s="21"/>
      <c r="I4" s="21"/>
      <c r="J4" s="21"/>
      <c r="K4" s="21"/>
      <c r="L4" s="21"/>
    </row>
    <row r="5" spans="1:16" x14ac:dyDescent="0.45">
      <c r="A5" s="12" t="s">
        <v>1077</v>
      </c>
      <c r="B5" s="3" t="s">
        <v>1078</v>
      </c>
      <c r="C5" s="12" t="s">
        <v>106</v>
      </c>
      <c r="E5" s="23">
        <v>0</v>
      </c>
    </row>
    <row r="6" spans="1:16" x14ac:dyDescent="0.45">
      <c r="A6" s="12" t="s">
        <v>1079</v>
      </c>
      <c r="B6" s="3" t="s">
        <v>1080</v>
      </c>
      <c r="C6" s="12" t="s">
        <v>65</v>
      </c>
      <c r="E6" s="25">
        <v>0</v>
      </c>
    </row>
    <row r="7" spans="1:16" x14ac:dyDescent="0.45">
      <c r="A7" s="12" t="s">
        <v>1081</v>
      </c>
      <c r="B7" s="3" t="s">
        <v>1082</v>
      </c>
      <c r="C7" s="12" t="s">
        <v>183</v>
      </c>
      <c r="E7" s="33">
        <v>0</v>
      </c>
    </row>
    <row r="8" spans="1:16" x14ac:dyDescent="0.45">
      <c r="A8" s="12" t="s">
        <v>1083</v>
      </c>
      <c r="B8" s="3" t="s">
        <v>1084</v>
      </c>
      <c r="C8" s="12" t="s">
        <v>73</v>
      </c>
      <c r="E8" s="31">
        <v>0</v>
      </c>
    </row>
    <row r="9" spans="1:16" x14ac:dyDescent="0.45">
      <c r="A9" s="12" t="s">
        <v>1085</v>
      </c>
      <c r="B9" s="3" t="s">
        <v>1086</v>
      </c>
      <c r="C9" s="12" t="s">
        <v>183</v>
      </c>
      <c r="E9" s="33">
        <v>0</v>
      </c>
    </row>
    <row r="11" spans="1:16" x14ac:dyDescent="0.45">
      <c r="A11" s="21"/>
      <c r="B11" s="22" t="s">
        <v>1087</v>
      </c>
      <c r="C11" s="21"/>
      <c r="D11" s="21"/>
      <c r="E11" s="21"/>
      <c r="F11" s="21"/>
      <c r="G11" s="21"/>
      <c r="H11" s="21"/>
      <c r="I11" s="21"/>
      <c r="J11" s="21"/>
      <c r="K11" s="21"/>
      <c r="L11" s="21"/>
      <c r="M11" s="21"/>
      <c r="N11" s="21"/>
    </row>
    <row r="12" spans="1:16" ht="30" customHeight="1" x14ac:dyDescent="0.45">
      <c r="B12" s="3" t="s">
        <v>1088</v>
      </c>
      <c r="C12" s="12"/>
      <c r="F12" s="18" t="s">
        <v>82</v>
      </c>
      <c r="G12" s="18" t="s">
        <v>83</v>
      </c>
      <c r="H12" s="18" t="s">
        <v>84</v>
      </c>
      <c r="I12" s="18" t="s">
        <v>85</v>
      </c>
      <c r="J12" s="18" t="s">
        <v>86</v>
      </c>
      <c r="K12" s="18" t="s">
        <v>87</v>
      </c>
      <c r="L12" s="18" t="s">
        <v>1089</v>
      </c>
      <c r="M12" s="18" t="s">
        <v>1090</v>
      </c>
      <c r="N12" s="18" t="s">
        <v>1091</v>
      </c>
      <c r="O12" s="18" t="s">
        <v>1092</v>
      </c>
      <c r="P12" s="18" t="s">
        <v>1093</v>
      </c>
    </row>
    <row r="13" spans="1:16" x14ac:dyDescent="0.45">
      <c r="B13" s="3" t="s">
        <v>1094</v>
      </c>
      <c r="C13" s="12"/>
      <c r="F13" s="13">
        <f>Annual!K37</f>
        <v>2384.9416231948526</v>
      </c>
      <c r="G13" s="13">
        <f>Annual!K61</f>
        <v>879.52427025367592</v>
      </c>
      <c r="H13" s="13">
        <f>Annual!L26</f>
        <v>8922.8267768992464</v>
      </c>
      <c r="I13" s="13">
        <f>Annual!L37</f>
        <v>2889.4687512350238</v>
      </c>
      <c r="J13" s="13">
        <f>Annual!L61</f>
        <v>1165.8682041762006</v>
      </c>
      <c r="K13" s="13">
        <f>Annual!L66</f>
        <v>1171.2388337574296</v>
      </c>
      <c r="L13" s="13">
        <f>Annual!M61</f>
        <v>1484.5799501047572</v>
      </c>
      <c r="M13" s="13">
        <f>Annual!M66</f>
        <v>1436.3153229147013</v>
      </c>
      <c r="N13" s="13">
        <f>Annual!N61</f>
        <v>1797.9279052143834</v>
      </c>
      <c r="O13" s="13">
        <f>Annual!N66</f>
        <v>1680.8420725643389</v>
      </c>
      <c r="P13" s="13">
        <f>Annual!N8</f>
        <v>298694.1176470588</v>
      </c>
    </row>
    <row r="14" spans="1:16" x14ac:dyDescent="0.45">
      <c r="B14" s="3" t="s">
        <v>88</v>
      </c>
      <c r="C14" s="12"/>
      <c r="E14" s="29">
        <v>1</v>
      </c>
      <c r="F14" s="50">
        <f t="dataTable" ref="F14:P16" dt2D="0" dtr="0" r1="E5" ca="1"/>
        <v>2281.6497813622291</v>
      </c>
      <c r="G14" s="50">
        <v>783.01095783281744</v>
      </c>
      <c r="H14" s="50">
        <v>7683.414857269041</v>
      </c>
      <c r="I14" s="50">
        <v>2278.2510059499136</v>
      </c>
      <c r="J14" s="50">
        <v>629.62471183226614</v>
      </c>
      <c r="K14" s="50">
        <v>645.95394235957303</v>
      </c>
      <c r="L14" s="50">
        <v>605.25759169526407</v>
      </c>
      <c r="M14" s="50">
        <v>595.02320749784019</v>
      </c>
      <c r="N14" s="50">
        <v>647.15254792066014</v>
      </c>
      <c r="O14" s="50">
        <v>599.89620078407097</v>
      </c>
      <c r="P14" s="50">
        <v>255152.94117647051</v>
      </c>
    </row>
    <row r="15" spans="1:16" x14ac:dyDescent="0.45">
      <c r="B15" s="3" t="s">
        <v>89</v>
      </c>
      <c r="C15" s="12"/>
      <c r="E15" s="29">
        <v>2</v>
      </c>
      <c r="F15" s="50">
        <v>2384.9416231948526</v>
      </c>
      <c r="G15" s="50">
        <v>879.52427025367592</v>
      </c>
      <c r="H15" s="50">
        <v>8922.8267768992464</v>
      </c>
      <c r="I15" s="50">
        <v>2889.4687512350238</v>
      </c>
      <c r="J15" s="50">
        <v>1165.8682041762006</v>
      </c>
      <c r="K15" s="50">
        <v>1171.2388337574296</v>
      </c>
      <c r="L15" s="50">
        <v>1484.5799501047572</v>
      </c>
      <c r="M15" s="50">
        <v>1436.3153229147013</v>
      </c>
      <c r="N15" s="50">
        <v>1797.9279052143834</v>
      </c>
      <c r="O15" s="50">
        <v>1680.8420725643389</v>
      </c>
      <c r="P15" s="50">
        <v>298694.1176470588</v>
      </c>
    </row>
    <row r="16" spans="1:16" x14ac:dyDescent="0.45">
      <c r="B16" s="3" t="s">
        <v>90</v>
      </c>
      <c r="C16" s="12"/>
      <c r="E16" s="29">
        <v>3</v>
      </c>
      <c r="F16" s="50">
        <v>2432.9812103970589</v>
      </c>
      <c r="G16" s="50">
        <v>888.26062216176535</v>
      </c>
      <c r="H16" s="50">
        <v>9471.2933990942565</v>
      </c>
      <c r="I16" s="50">
        <v>3129.2716237916452</v>
      </c>
      <c r="J16" s="50">
        <v>1305.1276767328218</v>
      </c>
      <c r="K16" s="50">
        <v>1316.5895966832879</v>
      </c>
      <c r="L16" s="50">
        <v>1836.3579680639027</v>
      </c>
      <c r="M16" s="50">
        <v>1774.45611128314</v>
      </c>
      <c r="N16" s="50">
        <v>2435.7963281822049</v>
      </c>
      <c r="O16" s="50">
        <v>2274.5459472991288</v>
      </c>
      <c r="P16" s="50">
        <v>325223.5294117647</v>
      </c>
    </row>
    <row r="18" spans="1:14" x14ac:dyDescent="0.45">
      <c r="A18" s="21"/>
      <c r="B18" s="22" t="s">
        <v>1095</v>
      </c>
      <c r="C18" s="21"/>
      <c r="D18" s="21"/>
      <c r="E18" s="21"/>
      <c r="F18" s="21"/>
      <c r="G18" s="21"/>
      <c r="H18" s="21"/>
      <c r="I18" s="21"/>
      <c r="J18" s="21"/>
      <c r="K18" s="21"/>
      <c r="L18" s="21"/>
      <c r="M18" s="21"/>
      <c r="N18" s="21"/>
    </row>
    <row r="19" spans="1:14" x14ac:dyDescent="0.45">
      <c r="B19" s="3" t="s">
        <v>1096</v>
      </c>
      <c r="C19" s="12"/>
      <c r="E19" s="13">
        <f>Annual!L61</f>
        <v>1165.8682041762006</v>
      </c>
      <c r="F19" s="33">
        <v>-10</v>
      </c>
      <c r="G19" s="33">
        <v>-5</v>
      </c>
      <c r="H19" s="33">
        <v>0</v>
      </c>
      <c r="I19" s="33">
        <v>5</v>
      </c>
      <c r="J19" s="33">
        <v>10</v>
      </c>
    </row>
    <row r="20" spans="1:14" x14ac:dyDescent="0.45">
      <c r="E20" s="25">
        <v>-3000</v>
      </c>
      <c r="F20" s="50">
        <f t="dataTable" ref="F20:J24" dt2D="1" dtr="1" r1="E7" r2="E6" ca="1"/>
        <v>966.08072588761797</v>
      </c>
      <c r="G20" s="50">
        <v>1097.1688091487993</v>
      </c>
      <c r="H20" s="50">
        <v>1228.256892409981</v>
      </c>
      <c r="I20" s="50">
        <v>1359.3449756711616</v>
      </c>
      <c r="J20" s="50">
        <v>1490.4330589323424</v>
      </c>
    </row>
    <row r="21" spans="1:14" x14ac:dyDescent="0.45">
      <c r="E21" s="25">
        <v>-1500</v>
      </c>
      <c r="F21" s="50">
        <v>927.04881461823811</v>
      </c>
      <c r="G21" s="50">
        <v>1062.0556814556649</v>
      </c>
      <c r="H21" s="50">
        <v>1197.0625482930914</v>
      </c>
      <c r="I21" s="50">
        <v>1332.0694151305177</v>
      </c>
      <c r="J21" s="50">
        <v>1467.0762819679439</v>
      </c>
    </row>
    <row r="22" spans="1:14" x14ac:dyDescent="0.45">
      <c r="E22" s="25">
        <v>0</v>
      </c>
      <c r="F22" s="50">
        <v>888.01690334885643</v>
      </c>
      <c r="G22" s="50">
        <v>1026.9425537625282</v>
      </c>
      <c r="H22" s="50">
        <v>1165.8682041762006</v>
      </c>
      <c r="I22" s="50">
        <v>1304.7938545898733</v>
      </c>
      <c r="J22" s="50">
        <v>1443.7195050035448</v>
      </c>
    </row>
    <row r="23" spans="1:14" x14ac:dyDescent="0.45">
      <c r="E23" s="25">
        <v>1500</v>
      </c>
      <c r="F23" s="50">
        <v>848.98499207947623</v>
      </c>
      <c r="G23" s="50">
        <v>991.82942606939389</v>
      </c>
      <c r="H23" s="50">
        <v>1134.6738600593108</v>
      </c>
      <c r="I23" s="50">
        <v>1277.5182940492289</v>
      </c>
      <c r="J23" s="50">
        <v>1420.3627280391461</v>
      </c>
    </row>
    <row r="24" spans="1:14" x14ac:dyDescent="0.45">
      <c r="E24" s="25">
        <v>3000</v>
      </c>
      <c r="F24" s="50">
        <v>809.95308081009603</v>
      </c>
      <c r="G24" s="50">
        <v>956.71629837625892</v>
      </c>
      <c r="H24" s="50">
        <v>1103.4795159424211</v>
      </c>
      <c r="I24" s="50">
        <v>1250.2427335085845</v>
      </c>
      <c r="J24" s="50">
        <v>1397.0059510747474</v>
      </c>
    </row>
    <row r="26" spans="1:14" x14ac:dyDescent="0.45">
      <c r="A26" s="21"/>
      <c r="B26" s="22" t="s">
        <v>1097</v>
      </c>
      <c r="C26" s="21"/>
      <c r="D26" s="21"/>
      <c r="E26" s="21"/>
      <c r="F26" s="21"/>
      <c r="G26" s="21"/>
      <c r="H26" s="21"/>
      <c r="I26" s="21"/>
      <c r="J26" s="21"/>
      <c r="K26" s="21"/>
      <c r="L26" s="21"/>
      <c r="M26" s="21"/>
      <c r="N26" s="21"/>
    </row>
    <row r="27" spans="1:14" x14ac:dyDescent="0.45">
      <c r="B27" s="3" t="s">
        <v>1098</v>
      </c>
      <c r="C27" s="12"/>
      <c r="E27" s="13">
        <f>Annual!L61</f>
        <v>1165.8682041762006</v>
      </c>
      <c r="F27" s="33">
        <v>-4</v>
      </c>
      <c r="G27" s="33">
        <v>-2</v>
      </c>
      <c r="H27" s="33">
        <v>0</v>
      </c>
      <c r="I27" s="33">
        <v>2</v>
      </c>
      <c r="J27" s="33">
        <v>4</v>
      </c>
    </row>
    <row r="28" spans="1:14" x14ac:dyDescent="0.45">
      <c r="E28" s="31">
        <v>-0.04</v>
      </c>
      <c r="F28" s="50">
        <f t="dataTable" ref="F28:J32" dt2D="1" dtr="1" r1="E9" r2="E8"/>
        <v>1167.072929710519</v>
      </c>
      <c r="G28" s="50">
        <v>1114.8555675019713</v>
      </c>
      <c r="H28" s="50">
        <v>1062.6382052934243</v>
      </c>
      <c r="I28" s="50">
        <v>1010.4208430848767</v>
      </c>
      <c r="J28" s="50">
        <v>958.20348087632874</v>
      </c>
    </row>
    <row r="29" spans="1:14" x14ac:dyDescent="0.45">
      <c r="E29" s="31">
        <v>-0.02</v>
      </c>
      <c r="F29" s="50">
        <v>1221.6548484344485</v>
      </c>
      <c r="G29" s="50">
        <v>1167.7727536626098</v>
      </c>
      <c r="H29" s="50">
        <v>1113.8906588907726</v>
      </c>
      <c r="I29" s="50">
        <v>1060.0085641189348</v>
      </c>
      <c r="J29" s="50">
        <v>1006.1264693470964</v>
      </c>
    </row>
    <row r="30" spans="1:14" x14ac:dyDescent="0.45">
      <c r="E30" s="31">
        <v>0</v>
      </c>
      <c r="F30" s="50">
        <v>1277.0087245071386</v>
      </c>
      <c r="G30" s="50">
        <v>1221.438464341669</v>
      </c>
      <c r="H30" s="50">
        <v>1165.8682041762006</v>
      </c>
      <c r="I30" s="50">
        <v>1110.2979440107324</v>
      </c>
      <c r="J30" s="50">
        <v>1054.7276838452626</v>
      </c>
    </row>
    <row r="31" spans="1:14" x14ac:dyDescent="0.45">
      <c r="E31" s="31">
        <v>0.02</v>
      </c>
      <c r="F31" s="50">
        <v>1333.1345579285903</v>
      </c>
      <c r="G31" s="50">
        <v>1275.8526995391494</v>
      </c>
      <c r="H31" s="50">
        <v>1218.5708411497098</v>
      </c>
      <c r="I31" s="50">
        <v>1161.2889827602698</v>
      </c>
      <c r="J31" s="50">
        <v>1104.0071243708292</v>
      </c>
    </row>
    <row r="32" spans="1:14" x14ac:dyDescent="0.45">
      <c r="E32" s="31">
        <v>0.04</v>
      </c>
      <c r="F32" s="50">
        <v>1390.0323486988038</v>
      </c>
      <c r="G32" s="50">
        <v>1331.0154592550509</v>
      </c>
      <c r="H32" s="50">
        <v>1271.9985698112991</v>
      </c>
      <c r="I32" s="50">
        <v>1212.9816803675476</v>
      </c>
      <c r="J32" s="50">
        <v>1153.9647909237947</v>
      </c>
    </row>
    <row r="34" spans="1:14" x14ac:dyDescent="0.45">
      <c r="A34" s="21"/>
      <c r="B34" s="22" t="s">
        <v>1099</v>
      </c>
      <c r="C34" s="21"/>
      <c r="D34" s="21"/>
      <c r="E34" s="21"/>
      <c r="F34" s="21"/>
      <c r="G34" s="21"/>
      <c r="H34" s="21"/>
      <c r="I34" s="21"/>
      <c r="J34" s="21"/>
      <c r="K34" s="21"/>
      <c r="L34" s="21"/>
      <c r="M34" s="21"/>
      <c r="N34" s="21"/>
    </row>
    <row r="35" spans="1:14" x14ac:dyDescent="0.45">
      <c r="B35" s="3" t="s">
        <v>1100</v>
      </c>
      <c r="C35" s="12" t="s">
        <v>70</v>
      </c>
      <c r="E35" s="13">
        <f>Annual!L61-Annual!K61</f>
        <v>286.34393392252468</v>
      </c>
    </row>
  </sheetData>
  <pageMargins left="0.75" right="0.75" top="1" bottom="1" header="0.5" footer="0.5"/>
  <pageSetup fitToHeight="0"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70AD47"/>
    <pageSetUpPr fitToPage="1"/>
  </sheetPr>
  <dimension ref="A1:G29"/>
  <sheetViews>
    <sheetView showGridLines="0" zoomScale="90" workbookViewId="0">
      <pane ySplit="4" topLeftCell="A5" activePane="bottomLeft" state="frozen"/>
      <selection pane="bottomLeft"/>
    </sheetView>
  </sheetViews>
  <sheetFormatPr defaultRowHeight="14.25" x14ac:dyDescent="0.45"/>
  <cols>
    <col min="1" max="1" width="13" customWidth="1"/>
    <col min="2" max="2" width="80" customWidth="1"/>
    <col min="3" max="3" width="11" customWidth="1"/>
    <col min="4" max="4" width="3" customWidth="1"/>
    <col min="5" max="7" width="16" customWidth="1"/>
  </cols>
  <sheetData>
    <row r="1" spans="1:7" ht="18" x14ac:dyDescent="0.55000000000000004">
      <c r="A1" s="1" t="s">
        <v>1101</v>
      </c>
    </row>
    <row r="2" spans="1:7" x14ac:dyDescent="0.45">
      <c r="A2" s="2" t="s">
        <v>1102</v>
      </c>
    </row>
    <row r="4" spans="1:7" x14ac:dyDescent="0.45">
      <c r="B4" s="7" t="s">
        <v>1103</v>
      </c>
      <c r="E4" s="7" t="s">
        <v>1104</v>
      </c>
      <c r="F4" s="7" t="s">
        <v>1105</v>
      </c>
      <c r="G4" s="7" t="s">
        <v>14</v>
      </c>
    </row>
    <row r="5" spans="1:7" x14ac:dyDescent="0.45">
      <c r="B5" s="3" t="s">
        <v>1106</v>
      </c>
      <c r="C5" s="12"/>
      <c r="E5" s="74">
        <f>MAX(MAX(BS!$E$32:$AK$32),-MIN(BS!$E$32:$AK$32))</f>
        <v>0</v>
      </c>
      <c r="F5" s="75">
        <f t="shared" ref="F5:F11" si="0">TolExact</f>
        <v>1E-3</v>
      </c>
      <c r="G5" s="76" t="str">
        <f t="shared" ref="G5:G27" si="1">IF(E5&lt;=F5,"OK","ERROR")</f>
        <v>OK</v>
      </c>
    </row>
    <row r="6" spans="1:7" x14ac:dyDescent="0.45">
      <c r="B6" s="3" t="s">
        <v>1107</v>
      </c>
      <c r="C6" s="12"/>
      <c r="E6" s="74">
        <f>MAX(MAX(Annual!$E$89:$N$89),-MIN(Annual!$E$89:$N$89))</f>
        <v>0</v>
      </c>
      <c r="F6" s="75">
        <f t="shared" si="0"/>
        <v>1E-3</v>
      </c>
      <c r="G6" s="76" t="str">
        <f t="shared" si="1"/>
        <v>OK</v>
      </c>
    </row>
    <row r="7" spans="1:7" x14ac:dyDescent="0.45">
      <c r="B7" s="3" t="s">
        <v>1108</v>
      </c>
      <c r="C7" s="12"/>
      <c r="E7" s="74">
        <f>MAX(MAX(BS!$E$34:$W$34),-MIN(BS!$E$34:$W$34))</f>
        <v>0</v>
      </c>
      <c r="F7" s="75">
        <f t="shared" si="0"/>
        <v>1E-3</v>
      </c>
      <c r="G7" s="76" t="str">
        <f t="shared" si="1"/>
        <v>OK</v>
      </c>
    </row>
    <row r="8" spans="1:7" x14ac:dyDescent="0.45">
      <c r="B8" s="3" t="s">
        <v>1109</v>
      </c>
      <c r="C8" s="12"/>
      <c r="E8" s="74">
        <f>MAX(MAX(BS!$E$36:$W$36),-MIN(BS!$E$36:$W$36))</f>
        <v>0</v>
      </c>
      <c r="F8" s="75">
        <f t="shared" si="0"/>
        <v>1E-3</v>
      </c>
      <c r="G8" s="76" t="str">
        <f t="shared" si="1"/>
        <v>OK</v>
      </c>
    </row>
    <row r="9" spans="1:7" x14ac:dyDescent="0.45">
      <c r="B9" s="3" t="s">
        <v>1110</v>
      </c>
      <c r="C9" s="12"/>
      <c r="E9" s="74">
        <f>SUMPRODUCT(ABS(Hist_Q!$E$60:$W$60-Hist_Q!$E$67:$W$67))</f>
        <v>0</v>
      </c>
      <c r="F9" s="75">
        <f t="shared" si="0"/>
        <v>1E-3</v>
      </c>
      <c r="G9" s="76" t="str">
        <f t="shared" si="1"/>
        <v>OK</v>
      </c>
    </row>
    <row r="10" spans="1:7" x14ac:dyDescent="0.45">
      <c r="B10" s="3" t="s">
        <v>1111</v>
      </c>
      <c r="C10" s="12"/>
      <c r="E10" s="74">
        <f>MAX(MAX(CF!$E$30:$AK$30),-MIN(CF!$E$30:$AK$30))</f>
        <v>0</v>
      </c>
      <c r="F10" s="75">
        <f t="shared" si="0"/>
        <v>1E-3</v>
      </c>
      <c r="G10" s="76" t="str">
        <f t="shared" si="1"/>
        <v>OK</v>
      </c>
    </row>
    <row r="11" spans="1:7" x14ac:dyDescent="0.45">
      <c r="B11" s="3" t="s">
        <v>1112</v>
      </c>
      <c r="C11" s="12"/>
      <c r="E11" s="74">
        <f>SUMPRODUCT(ABS(CF!$E$27:$W$27-CF!$E$28:$W$28))</f>
        <v>0</v>
      </c>
      <c r="F11" s="75">
        <f t="shared" si="0"/>
        <v>1E-3</v>
      </c>
      <c r="G11" s="76" t="str">
        <f t="shared" si="1"/>
        <v>OK</v>
      </c>
    </row>
    <row r="12" spans="1:7" x14ac:dyDescent="0.45">
      <c r="B12" s="3" t="s">
        <v>1113</v>
      </c>
      <c r="C12" s="12"/>
      <c r="E12" s="74">
        <f>MAX(INDEX(ABS(CF!$E$32:$W$32-CF!$E$33:$W$33),0))</f>
        <v>1</v>
      </c>
      <c r="F12" s="75">
        <f>TolRounding</f>
        <v>2</v>
      </c>
      <c r="G12" s="76" t="str">
        <f t="shared" si="1"/>
        <v>OK</v>
      </c>
    </row>
    <row r="13" spans="1:7" x14ac:dyDescent="0.45">
      <c r="B13" s="3" t="s">
        <v>1114</v>
      </c>
      <c r="C13" s="12"/>
      <c r="E13" s="74">
        <f>SUMPRODUCT(ABS(IS!$E$20:$W$20-Hist_Q!$E$24:$W$24))</f>
        <v>0</v>
      </c>
      <c r="F13" s="75">
        <f>TolExact</f>
        <v>1E-3</v>
      </c>
      <c r="G13" s="76" t="str">
        <f t="shared" si="1"/>
        <v>OK</v>
      </c>
    </row>
    <row r="14" spans="1:7" x14ac:dyDescent="0.45">
      <c r="B14" s="3" t="s">
        <v>1115</v>
      </c>
      <c r="C14" s="12"/>
      <c r="E14" s="74">
        <f>SUMPRODUCT(ABS(IS!$E$27:$W$27-Hist_Q!$E$29:$W$29))</f>
        <v>0</v>
      </c>
      <c r="F14" s="75">
        <f>TolExact</f>
        <v>1E-3</v>
      </c>
      <c r="G14" s="76" t="str">
        <f t="shared" si="1"/>
        <v>OK</v>
      </c>
    </row>
    <row r="15" spans="1:7" x14ac:dyDescent="0.45">
      <c r="B15" s="3" t="s">
        <v>1116</v>
      </c>
      <c r="C15" s="12"/>
      <c r="E15" s="74">
        <f>SUMPRODUCT(ABS(IS!$E$29:$W$29-Hist_Q!$E$30:$W$30))</f>
        <v>0</v>
      </c>
      <c r="F15" s="75">
        <f>TolExact</f>
        <v>1E-3</v>
      </c>
      <c r="G15" s="76" t="str">
        <f t="shared" si="1"/>
        <v>OK</v>
      </c>
    </row>
    <row r="16" spans="1:7" x14ac:dyDescent="0.45">
      <c r="B16" s="3" t="s">
        <v>1117</v>
      </c>
      <c r="C16" s="12"/>
      <c r="E16" s="74">
        <f>SUMPRODUCT(ABS(IS!$E$35:$W$35-Hist_Q!$E$34:$W$34))</f>
        <v>0</v>
      </c>
      <c r="F16" s="75">
        <f>TolExact</f>
        <v>1E-3</v>
      </c>
      <c r="G16" s="76" t="str">
        <f t="shared" si="1"/>
        <v>OK</v>
      </c>
    </row>
    <row r="17" spans="2:7" x14ac:dyDescent="0.45">
      <c r="B17" s="3" t="s">
        <v>1118</v>
      </c>
      <c r="C17" s="12"/>
      <c r="E17" s="74">
        <f>MAX(MAX(Annual!$G$91:$J$91),-MIN(Annual!$G$91:$J$91),MAX(Annual!$G$92:$J$92),-MIN(Annual!$G$92:$J$92),MAX(Annual!$G$93:$J$93),-MIN(Annual!$G$93:$J$93),MAX(Annual!$G$94:$J$94),-MIN(Annual!$G$94:$J$94))</f>
        <v>1</v>
      </c>
      <c r="F17" s="75">
        <f>TolRounding</f>
        <v>2</v>
      </c>
      <c r="G17" s="76" t="str">
        <f t="shared" si="1"/>
        <v>OK</v>
      </c>
    </row>
    <row r="18" spans="2:7" x14ac:dyDescent="0.45">
      <c r="B18" s="3" t="s">
        <v>1119</v>
      </c>
      <c r="C18" s="12"/>
      <c r="E18" s="74">
        <f>MAX(MAX(Bridge!$F$23:$I$23),-MIN(Bridge!$F$23:$I$23))</f>
        <v>0</v>
      </c>
      <c r="F18" s="75">
        <f t="shared" ref="F18:F23" si="2">TolExact</f>
        <v>1E-3</v>
      </c>
      <c r="G18" s="76" t="str">
        <f t="shared" si="1"/>
        <v>OK</v>
      </c>
    </row>
    <row r="19" spans="2:7" x14ac:dyDescent="0.45">
      <c r="B19" s="3" t="s">
        <v>1120</v>
      </c>
      <c r="C19" s="12"/>
      <c r="E19" s="74">
        <f>SUMPRODUCT(--ISERROR(Inputs!$A$1:$AH$200))+SUMPRODUCT(--ISERROR(Drivers!$A$1:$AH$200))+SUMPRODUCT(--ISERROR(Rev_Build!$A$1:$AH$200))+SUMPRODUCT(--ISERROR(IS!$A$1:$AH$200))+SUMPRODUCT(--ISERROR(BS!$A$1:$AH$200))+SUMPRODUCT(--ISERROR(CF!$A$1:$AH$200))+SUMPRODUCT(--ISERROR(Schedules!$A$1:$AH$200))+SUMPRODUCT(--ISERROR(Annual!$A$1:$AH$200))+SUMPRODUCT(--ISERROR(Unit_Econ!$A$1:$AH$200))+SUMPRODUCT(--ISERROR(Bridge!$A$1:$AH$200))+SUMPRODUCT(--ISERROR(Guidance!$A$1:$AH$200))+SUMPRODUCT(--ISERROR(Backtest!$A$1:$AH$200))+SUMPRODUCT(--ISERROR(Sensitivity!$A$1:$AH$200))+SUMPRODUCT(--ISERROR(Hist_Q!$A$1:$AH$200))+SUMPRODUCT(--ISERROR(Hist_A!$A$1:$AH$200))</f>
        <v>0</v>
      </c>
      <c r="F19" s="75">
        <f t="shared" si="2"/>
        <v>1E-3</v>
      </c>
      <c r="G19" s="76" t="str">
        <f t="shared" si="1"/>
        <v>OK</v>
      </c>
    </row>
    <row r="20" spans="2:7" x14ac:dyDescent="0.45">
      <c r="B20" s="3" t="s">
        <v>1121</v>
      </c>
      <c r="C20" s="12"/>
      <c r="E20" s="74">
        <f>COUNTIF(Rev_Build!$X$17:$AK$17,"&lt;=0")+COUNTIF(Rev_Build!$X$27:$AK$27,"&lt;=0")+COUNTIF(Rev_Build!$X$11:$AK$11,"&lt;=0")</f>
        <v>0</v>
      </c>
      <c r="F20" s="75">
        <f t="shared" si="2"/>
        <v>1E-3</v>
      </c>
      <c r="G20" s="76" t="str">
        <f t="shared" si="1"/>
        <v>OK</v>
      </c>
    </row>
    <row r="21" spans="2:7" x14ac:dyDescent="0.45">
      <c r="B21" s="3" t="s">
        <v>1122</v>
      </c>
      <c r="C21" s="12"/>
      <c r="E21" s="75">
        <f>IF(OR(Scenario=1,Scenario=2,Scenario=3),0,1)</f>
        <v>0</v>
      </c>
      <c r="F21" s="75">
        <f t="shared" si="2"/>
        <v>1E-3</v>
      </c>
      <c r="G21" s="76" t="str">
        <f t="shared" si="1"/>
        <v>OK</v>
      </c>
    </row>
    <row r="22" spans="2:7" x14ac:dyDescent="0.45">
      <c r="B22" s="3" t="s">
        <v>1123</v>
      </c>
      <c r="C22" s="12"/>
      <c r="E22" s="75">
        <f>ABS(ScenarioOverride)+ABS(Sens_NetAdds)+ABS(Sens_TakeBps)+ABS(Sens_GPVg)+ABS(Sens_FinCostBps)</f>
        <v>0</v>
      </c>
      <c r="F22" s="75">
        <f t="shared" si="2"/>
        <v>1E-3</v>
      </c>
      <c r="G22" s="76" t="str">
        <f t="shared" si="1"/>
        <v>OK</v>
      </c>
    </row>
    <row r="23" spans="2:7" x14ac:dyDescent="0.45">
      <c r="B23" s="3" t="s">
        <v>1124</v>
      </c>
      <c r="C23" s="12"/>
      <c r="E23" s="74">
        <f>MAX(MAX(IS!$X$58:$AK$58),-MIN(IS!$X$58:$AK$58))</f>
        <v>0</v>
      </c>
      <c r="F23" s="75">
        <f t="shared" si="2"/>
        <v>1E-3</v>
      </c>
      <c r="G23" s="76" t="str">
        <f t="shared" si="1"/>
        <v>OK</v>
      </c>
    </row>
    <row r="24" spans="2:7" x14ac:dyDescent="0.45">
      <c r="B24" s="3" t="s">
        <v>1125</v>
      </c>
      <c r="C24" s="12"/>
      <c r="E24" s="74">
        <f>MAX(MAX(IS!$I$58:$W$58),-MIN(IS!$I$58:$W$58))</f>
        <v>3</v>
      </c>
      <c r="F24" s="75">
        <f>TolRecon</f>
        <v>3</v>
      </c>
      <c r="G24" s="76" t="str">
        <f t="shared" si="1"/>
        <v>OK</v>
      </c>
    </row>
    <row r="25" spans="2:7" x14ac:dyDescent="0.45">
      <c r="B25" s="3" t="s">
        <v>1126</v>
      </c>
      <c r="C25" s="12"/>
      <c r="E25" s="74">
        <f>-MIN(0,MIN(IS!$X$45:$AK$45))</f>
        <v>0</v>
      </c>
      <c r="F25" s="75">
        <f>TolExact</f>
        <v>1E-3</v>
      </c>
      <c r="G25" s="76" t="str">
        <f t="shared" si="1"/>
        <v>OK</v>
      </c>
    </row>
    <row r="26" spans="2:7" x14ac:dyDescent="0.45">
      <c r="B26" s="3" t="s">
        <v>1127</v>
      </c>
      <c r="C26" s="12"/>
      <c r="E26" s="74">
        <f>MAX(MAX(Annual!$G$80:$N$80),-MIN(Annual!$G$80:$N$80))</f>
        <v>0</v>
      </c>
      <c r="F26" s="75">
        <f>TolExact</f>
        <v>1E-3</v>
      </c>
      <c r="G26" s="76" t="str">
        <f t="shared" si="1"/>
        <v>OK</v>
      </c>
    </row>
    <row r="27" spans="2:7" x14ac:dyDescent="0.45">
      <c r="B27" s="3" t="s">
        <v>1128</v>
      </c>
      <c r="C27" s="12"/>
      <c r="E27" s="74">
        <f>MAX(MAX(Backtest!$E$68:$G$68),-MIN(Backtest!$E$68:$G$68))</f>
        <v>0</v>
      </c>
      <c r="F27" s="75">
        <f>TolExact</f>
        <v>1E-3</v>
      </c>
      <c r="G27" s="76" t="str">
        <f t="shared" si="1"/>
        <v>OK</v>
      </c>
    </row>
    <row r="29" spans="2:7" x14ac:dyDescent="0.45">
      <c r="B29" s="4" t="s">
        <v>1129</v>
      </c>
      <c r="C29" s="12"/>
      <c r="G29" s="77" t="str">
        <f>IF(COUNTIF(G5:G27,"OK")=ROWS(G5:G27),"ALL OK","ERROR")</f>
        <v>ALL OK</v>
      </c>
    </row>
  </sheetData>
  <pageMargins left="0.75" right="0.75" top="1" bottom="1" header="0.5" footer="0.5"/>
  <pageSetup fitToHeight="0"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W85"/>
  <sheetViews>
    <sheetView showGridLines="0" zoomScale="90" workbookViewId="0">
      <pane xSplit="4" ySplit="8" topLeftCell="E9" activePane="bottomRight" state="frozen"/>
      <selection pane="topRight"/>
      <selection pane="bottomLeft"/>
      <selection pane="bottomRight"/>
    </sheetView>
  </sheetViews>
  <sheetFormatPr defaultRowHeight="14.25" x14ac:dyDescent="0.45"/>
  <cols>
    <col min="1" max="1" width="13" customWidth="1"/>
    <col min="2" max="2" width="50" customWidth="1"/>
    <col min="3" max="3" width="11" customWidth="1"/>
    <col min="4" max="4" width="3" customWidth="1"/>
    <col min="5" max="23" width="10" customWidth="1"/>
  </cols>
  <sheetData>
    <row r="1" spans="1:23" ht="18" x14ac:dyDescent="0.55000000000000004">
      <c r="A1" s="1" t="s">
        <v>1130</v>
      </c>
    </row>
    <row r="2" spans="1:23" x14ac:dyDescent="0.45">
      <c r="A2" s="2" t="s">
        <v>1131</v>
      </c>
    </row>
    <row r="4" spans="1:23" x14ac:dyDescent="0.45">
      <c r="A4" s="12" t="s">
        <v>279</v>
      </c>
      <c r="B4" s="4" t="s">
        <v>92</v>
      </c>
      <c r="C4" s="12"/>
      <c r="E4" s="10" t="str">
        <f>Drivers!E$4</f>
        <v>Q4'21</v>
      </c>
      <c r="F4" s="10" t="str">
        <f>Drivers!F$4</f>
        <v>Q1'22</v>
      </c>
      <c r="G4" s="10" t="str">
        <f>Drivers!G$4</f>
        <v>Q2'22</v>
      </c>
      <c r="H4" s="10" t="str">
        <f>Drivers!H$4</f>
        <v>Q3'22</v>
      </c>
      <c r="I4" s="10" t="str">
        <f>Drivers!I$4</f>
        <v>Q4'22</v>
      </c>
      <c r="J4" s="10" t="str">
        <f>Drivers!J$4</f>
        <v>Q1'23</v>
      </c>
      <c r="K4" s="10" t="str">
        <f>Drivers!K$4</f>
        <v>Q2'23</v>
      </c>
      <c r="L4" s="10" t="str">
        <f>Drivers!L$4</f>
        <v>Q3'23</v>
      </c>
      <c r="M4" s="10" t="str">
        <f>Drivers!M$4</f>
        <v>Q4'23</v>
      </c>
      <c r="N4" s="10" t="str">
        <f>Drivers!N$4</f>
        <v>Q1'24</v>
      </c>
      <c r="O4" s="10" t="str">
        <f>Drivers!O$4</f>
        <v>Q2'24</v>
      </c>
      <c r="P4" s="10" t="str">
        <f>Drivers!P$4</f>
        <v>Q3'24</v>
      </c>
      <c r="Q4" s="10" t="str">
        <f>Drivers!Q$4</f>
        <v>Q4'24</v>
      </c>
      <c r="R4" s="10" t="str">
        <f>Drivers!R$4</f>
        <v>Q1'25</v>
      </c>
      <c r="S4" s="10" t="str">
        <f>Drivers!S$4</f>
        <v>Q2'25</v>
      </c>
      <c r="T4" s="10" t="str">
        <f>Drivers!T$4</f>
        <v>Q3'25</v>
      </c>
      <c r="U4" s="10" t="str">
        <f>Drivers!U$4</f>
        <v>Q4'25</v>
      </c>
      <c r="V4" s="10" t="str">
        <f>Drivers!V$4</f>
        <v>Q1'26</v>
      </c>
      <c r="W4" s="10" t="str">
        <f>Drivers!W$4</f>
        <v>Q2'26</v>
      </c>
    </row>
    <row r="5" spans="1:23" x14ac:dyDescent="0.45">
      <c r="A5" s="12" t="s">
        <v>280</v>
      </c>
      <c r="B5" s="3" t="s">
        <v>281</v>
      </c>
      <c r="C5" s="12"/>
      <c r="E5" s="45" t="str">
        <f>Drivers!E$5</f>
        <v>A</v>
      </c>
      <c r="F5" s="45" t="str">
        <f>Drivers!F$5</f>
        <v>A</v>
      </c>
      <c r="G5" s="45" t="str">
        <f>Drivers!G$5</f>
        <v>A</v>
      </c>
      <c r="H5" s="45" t="str">
        <f>Drivers!H$5</f>
        <v>A</v>
      </c>
      <c r="I5" s="45" t="str">
        <f>Drivers!I$5</f>
        <v>A</v>
      </c>
      <c r="J5" s="45" t="str">
        <f>Drivers!J$5</f>
        <v>A</v>
      </c>
      <c r="K5" s="45" t="str">
        <f>Drivers!K$5</f>
        <v>A</v>
      </c>
      <c r="L5" s="45" t="str">
        <f>Drivers!L$5</f>
        <v>A</v>
      </c>
      <c r="M5" s="45" t="str">
        <f>Drivers!M$5</f>
        <v>A</v>
      </c>
      <c r="N5" s="45" t="str">
        <f>Drivers!N$5</f>
        <v>A</v>
      </c>
      <c r="O5" s="45" t="str">
        <f>Drivers!O$5</f>
        <v>A</v>
      </c>
      <c r="P5" s="45" t="str">
        <f>Drivers!P$5</f>
        <v>A</v>
      </c>
      <c r="Q5" s="45" t="str">
        <f>Drivers!Q$5</f>
        <v>A</v>
      </c>
      <c r="R5" s="45" t="str">
        <f>Drivers!R$5</f>
        <v>A</v>
      </c>
      <c r="S5" s="45" t="str">
        <f>Drivers!S$5</f>
        <v>A</v>
      </c>
      <c r="T5" s="45" t="str">
        <f>Drivers!T$5</f>
        <v>A</v>
      </c>
      <c r="U5" s="45" t="str">
        <f>Drivers!U$5</f>
        <v>A</v>
      </c>
      <c r="V5" s="45" t="str">
        <f>Drivers!V$5</f>
        <v>A</v>
      </c>
      <c r="W5" s="45" t="str">
        <f>Drivers!W$5</f>
        <v>A</v>
      </c>
    </row>
    <row r="6" spans="1:23" x14ac:dyDescent="0.45">
      <c r="A6" s="12" t="s">
        <v>282</v>
      </c>
      <c r="B6" s="3" t="s">
        <v>97</v>
      </c>
      <c r="C6" s="12"/>
      <c r="E6" s="20">
        <f>Drivers!E$6</f>
        <v>2021</v>
      </c>
      <c r="F6" s="20">
        <f>Drivers!F$6</f>
        <v>2022</v>
      </c>
      <c r="G6" s="20">
        <f>Drivers!G$6</f>
        <v>2022</v>
      </c>
      <c r="H6" s="20">
        <f>Drivers!H$6</f>
        <v>2022</v>
      </c>
      <c r="I6" s="20">
        <f>Drivers!I$6</f>
        <v>2022</v>
      </c>
      <c r="J6" s="20">
        <f>Drivers!J$6</f>
        <v>2023</v>
      </c>
      <c r="K6" s="20">
        <f>Drivers!K$6</f>
        <v>2023</v>
      </c>
      <c r="L6" s="20">
        <f>Drivers!L$6</f>
        <v>2023</v>
      </c>
      <c r="M6" s="20">
        <f>Drivers!M$6</f>
        <v>2023</v>
      </c>
      <c r="N6" s="20">
        <f>Drivers!N$6</f>
        <v>2024</v>
      </c>
      <c r="O6" s="20">
        <f>Drivers!O$6</f>
        <v>2024</v>
      </c>
      <c r="P6" s="20">
        <f>Drivers!P$6</f>
        <v>2024</v>
      </c>
      <c r="Q6" s="20">
        <f>Drivers!Q$6</f>
        <v>2024</v>
      </c>
      <c r="R6" s="20">
        <f>Drivers!R$6</f>
        <v>2025</v>
      </c>
      <c r="S6" s="20">
        <f>Drivers!S$6</f>
        <v>2025</v>
      </c>
      <c r="T6" s="20">
        <f>Drivers!T$6</f>
        <v>2025</v>
      </c>
      <c r="U6" s="20">
        <f>Drivers!U$6</f>
        <v>2025</v>
      </c>
      <c r="V6" s="20">
        <f>Drivers!V$6</f>
        <v>2026</v>
      </c>
      <c r="W6" s="20">
        <f>Drivers!W$6</f>
        <v>2026</v>
      </c>
    </row>
    <row r="7" spans="1:23" x14ac:dyDescent="0.45">
      <c r="A7" s="12" t="s">
        <v>283</v>
      </c>
      <c r="B7" s="3" t="s">
        <v>284</v>
      </c>
      <c r="C7" s="12"/>
      <c r="E7" s="20">
        <f>Drivers!E$7</f>
        <v>4</v>
      </c>
      <c r="F7" s="20">
        <f>Drivers!F$7</f>
        <v>1</v>
      </c>
      <c r="G7" s="20">
        <f>Drivers!G$7</f>
        <v>2</v>
      </c>
      <c r="H7" s="20">
        <f>Drivers!H$7</f>
        <v>3</v>
      </c>
      <c r="I7" s="20">
        <f>Drivers!I$7</f>
        <v>4</v>
      </c>
      <c r="J7" s="20">
        <f>Drivers!J$7</f>
        <v>1</v>
      </c>
      <c r="K7" s="20">
        <f>Drivers!K$7</f>
        <v>2</v>
      </c>
      <c r="L7" s="20">
        <f>Drivers!L$7</f>
        <v>3</v>
      </c>
      <c r="M7" s="20">
        <f>Drivers!M$7</f>
        <v>4</v>
      </c>
      <c r="N7" s="20">
        <f>Drivers!N$7</f>
        <v>1</v>
      </c>
      <c r="O7" s="20">
        <f>Drivers!O$7</f>
        <v>2</v>
      </c>
      <c r="P7" s="20">
        <f>Drivers!P$7</f>
        <v>3</v>
      </c>
      <c r="Q7" s="20">
        <f>Drivers!Q$7</f>
        <v>4</v>
      </c>
      <c r="R7" s="20">
        <f>Drivers!R$7</f>
        <v>1</v>
      </c>
      <c r="S7" s="20">
        <f>Drivers!S$7</f>
        <v>2</v>
      </c>
      <c r="T7" s="20">
        <f>Drivers!T$7</f>
        <v>3</v>
      </c>
      <c r="U7" s="20">
        <f>Drivers!U$7</f>
        <v>4</v>
      </c>
      <c r="V7" s="20">
        <f>Drivers!V$7</f>
        <v>1</v>
      </c>
      <c r="W7" s="20">
        <f>Drivers!W$7</f>
        <v>2</v>
      </c>
    </row>
    <row r="8" spans="1:23" x14ac:dyDescent="0.45">
      <c r="A8" s="12" t="s">
        <v>285</v>
      </c>
      <c r="B8" s="3" t="s">
        <v>286</v>
      </c>
      <c r="C8" s="12"/>
      <c r="E8" s="47">
        <f>Drivers!E$8</f>
        <v>44561</v>
      </c>
      <c r="F8" s="47">
        <f>Drivers!F$8</f>
        <v>44651</v>
      </c>
      <c r="G8" s="47">
        <f>Drivers!G$8</f>
        <v>44742</v>
      </c>
      <c r="H8" s="47">
        <f>Drivers!H$8</f>
        <v>44834</v>
      </c>
      <c r="I8" s="47">
        <f>Drivers!I$8</f>
        <v>44926</v>
      </c>
      <c r="J8" s="47">
        <f>Drivers!J$8</f>
        <v>45016</v>
      </c>
      <c r="K8" s="47">
        <f>Drivers!K$8</f>
        <v>45107</v>
      </c>
      <c r="L8" s="47">
        <f>Drivers!L$8</f>
        <v>45199</v>
      </c>
      <c r="M8" s="47">
        <f>Drivers!M$8</f>
        <v>45291</v>
      </c>
      <c r="N8" s="47">
        <f>Drivers!N$8</f>
        <v>45382</v>
      </c>
      <c r="O8" s="47">
        <f>Drivers!O$8</f>
        <v>45473</v>
      </c>
      <c r="P8" s="47">
        <f>Drivers!P$8</f>
        <v>45565</v>
      </c>
      <c r="Q8" s="47">
        <f>Drivers!Q$8</f>
        <v>45657</v>
      </c>
      <c r="R8" s="47">
        <f>Drivers!R$8</f>
        <v>45747</v>
      </c>
      <c r="S8" s="47">
        <f>Drivers!S$8</f>
        <v>45838</v>
      </c>
      <c r="T8" s="47">
        <f>Drivers!T$8</f>
        <v>45930</v>
      </c>
      <c r="U8" s="47">
        <f>Drivers!U$8</f>
        <v>46022</v>
      </c>
      <c r="V8" s="47">
        <f>Drivers!V$8</f>
        <v>46112</v>
      </c>
      <c r="W8" s="47">
        <f>Drivers!W$8</f>
        <v>46203</v>
      </c>
    </row>
    <row r="9" spans="1:23" x14ac:dyDescent="0.45">
      <c r="A9" s="12" t="s">
        <v>1132</v>
      </c>
      <c r="B9" s="3" t="s">
        <v>1133</v>
      </c>
      <c r="C9" s="12" t="s">
        <v>1134</v>
      </c>
      <c r="E9" s="12" t="str">
        <f t="shared" ref="E9:W9" si="0">"Q"&amp;E$7&amp;"-"&amp;E$6</f>
        <v>Q4-2021</v>
      </c>
      <c r="F9" s="12" t="str">
        <f t="shared" si="0"/>
        <v>Q1-2022</v>
      </c>
      <c r="G9" s="12" t="str">
        <f t="shared" si="0"/>
        <v>Q2-2022</v>
      </c>
      <c r="H9" s="12" t="str">
        <f t="shared" si="0"/>
        <v>Q3-2022</v>
      </c>
      <c r="I9" s="12" t="str">
        <f t="shared" si="0"/>
        <v>Q4-2022</v>
      </c>
      <c r="J9" s="12" t="str">
        <f t="shared" si="0"/>
        <v>Q1-2023</v>
      </c>
      <c r="K9" s="12" t="str">
        <f t="shared" si="0"/>
        <v>Q2-2023</v>
      </c>
      <c r="L9" s="12" t="str">
        <f t="shared" si="0"/>
        <v>Q3-2023</v>
      </c>
      <c r="M9" s="12" t="str">
        <f t="shared" si="0"/>
        <v>Q4-2023</v>
      </c>
      <c r="N9" s="12" t="str">
        <f t="shared" si="0"/>
        <v>Q1-2024</v>
      </c>
      <c r="O9" s="12" t="str">
        <f t="shared" si="0"/>
        <v>Q2-2024</v>
      </c>
      <c r="P9" s="12" t="str">
        <f t="shared" si="0"/>
        <v>Q3-2024</v>
      </c>
      <c r="Q9" s="12" t="str">
        <f t="shared" si="0"/>
        <v>Q4-2024</v>
      </c>
      <c r="R9" s="12" t="str">
        <f t="shared" si="0"/>
        <v>Q1-2025</v>
      </c>
      <c r="S9" s="12" t="str">
        <f t="shared" si="0"/>
        <v>Q2-2025</v>
      </c>
      <c r="T9" s="12" t="str">
        <f t="shared" si="0"/>
        <v>Q3-2025</v>
      </c>
      <c r="U9" s="12" t="str">
        <f t="shared" si="0"/>
        <v>Q4-2025</v>
      </c>
      <c r="V9" s="12" t="str">
        <f t="shared" si="0"/>
        <v>Q1-2026</v>
      </c>
      <c r="W9" s="12" t="str">
        <f t="shared" si="0"/>
        <v>Q2-2026</v>
      </c>
    </row>
    <row r="10" spans="1:23" x14ac:dyDescent="0.45">
      <c r="A10" s="12" t="s">
        <v>1135</v>
      </c>
      <c r="B10" s="3" t="s">
        <v>1136</v>
      </c>
      <c r="C10" s="12" t="s">
        <v>1134</v>
      </c>
      <c r="E10" s="12" t="str">
        <f t="shared" ref="E10:W10" si="1">CHOOSE(E$7,"Q1-","YTD6-","YTD9-","FY-")&amp;E$6</f>
        <v>FY-2021</v>
      </c>
      <c r="F10" s="12" t="str">
        <f t="shared" si="1"/>
        <v>Q1-2022</v>
      </c>
      <c r="G10" s="12" t="str">
        <f t="shared" si="1"/>
        <v>YTD6-2022</v>
      </c>
      <c r="H10" s="12" t="str">
        <f t="shared" si="1"/>
        <v>YTD9-2022</v>
      </c>
      <c r="I10" s="12" t="str">
        <f t="shared" si="1"/>
        <v>FY-2022</v>
      </c>
      <c r="J10" s="12" t="str">
        <f t="shared" si="1"/>
        <v>Q1-2023</v>
      </c>
      <c r="K10" s="12" t="str">
        <f t="shared" si="1"/>
        <v>YTD6-2023</v>
      </c>
      <c r="L10" s="12" t="str">
        <f t="shared" si="1"/>
        <v>YTD9-2023</v>
      </c>
      <c r="M10" s="12" t="str">
        <f t="shared" si="1"/>
        <v>FY-2023</v>
      </c>
      <c r="N10" s="12" t="str">
        <f t="shared" si="1"/>
        <v>Q1-2024</v>
      </c>
      <c r="O10" s="12" t="str">
        <f t="shared" si="1"/>
        <v>YTD6-2024</v>
      </c>
      <c r="P10" s="12" t="str">
        <f t="shared" si="1"/>
        <v>YTD9-2024</v>
      </c>
      <c r="Q10" s="12" t="str">
        <f t="shared" si="1"/>
        <v>FY-2024</v>
      </c>
      <c r="R10" s="12" t="str">
        <f t="shared" si="1"/>
        <v>Q1-2025</v>
      </c>
      <c r="S10" s="12" t="str">
        <f t="shared" si="1"/>
        <v>YTD6-2025</v>
      </c>
      <c r="T10" s="12" t="str">
        <f t="shared" si="1"/>
        <v>YTD9-2025</v>
      </c>
      <c r="U10" s="12" t="str">
        <f t="shared" si="1"/>
        <v>FY-2025</v>
      </c>
      <c r="V10" s="12" t="str">
        <f t="shared" si="1"/>
        <v>Q1-2026</v>
      </c>
      <c r="W10" s="12" t="str">
        <f t="shared" si="1"/>
        <v>YTD6-2026</v>
      </c>
    </row>
    <row r="11" spans="1:23" x14ac:dyDescent="0.45">
      <c r="A11" s="12" t="s">
        <v>1137</v>
      </c>
      <c r="B11" s="3" t="s">
        <v>1138</v>
      </c>
      <c r="C11" s="12" t="s">
        <v>1134</v>
      </c>
      <c r="E11" s="12" t="str">
        <f t="shared" ref="E11:W11" si="2">IF(E$7=1,"",CHOOSE(E$7-1,"Q1-","YTD6-","YTD9-")&amp;E$6)</f>
        <v>YTD9-2021</v>
      </c>
      <c r="F11" s="12" t="str">
        <f t="shared" si="2"/>
        <v/>
      </c>
      <c r="G11" s="12" t="str">
        <f t="shared" si="2"/>
        <v>Q1-2022</v>
      </c>
      <c r="H11" s="12" t="str">
        <f t="shared" si="2"/>
        <v>YTD6-2022</v>
      </c>
      <c r="I11" s="12" t="str">
        <f t="shared" si="2"/>
        <v>YTD9-2022</v>
      </c>
      <c r="J11" s="12" t="str">
        <f t="shared" si="2"/>
        <v/>
      </c>
      <c r="K11" s="12" t="str">
        <f t="shared" si="2"/>
        <v>Q1-2023</v>
      </c>
      <c r="L11" s="12" t="str">
        <f t="shared" si="2"/>
        <v>YTD6-2023</v>
      </c>
      <c r="M11" s="12" t="str">
        <f t="shared" si="2"/>
        <v>YTD9-2023</v>
      </c>
      <c r="N11" s="12" t="str">
        <f t="shared" si="2"/>
        <v/>
      </c>
      <c r="O11" s="12" t="str">
        <f t="shared" si="2"/>
        <v>Q1-2024</v>
      </c>
      <c r="P11" s="12" t="str">
        <f t="shared" si="2"/>
        <v>YTD6-2024</v>
      </c>
      <c r="Q11" s="12" t="str">
        <f t="shared" si="2"/>
        <v>YTD9-2024</v>
      </c>
      <c r="R11" s="12" t="str">
        <f t="shared" si="2"/>
        <v/>
      </c>
      <c r="S11" s="12" t="str">
        <f t="shared" si="2"/>
        <v>Q1-2025</v>
      </c>
      <c r="T11" s="12" t="str">
        <f t="shared" si="2"/>
        <v>YTD6-2025</v>
      </c>
      <c r="U11" s="12" t="str">
        <f t="shared" si="2"/>
        <v>YTD9-2025</v>
      </c>
      <c r="V11" s="12" t="str">
        <f t="shared" si="2"/>
        <v/>
      </c>
      <c r="W11" s="12" t="str">
        <f t="shared" si="2"/>
        <v>Q1-2026</v>
      </c>
    </row>
    <row r="12" spans="1:23" x14ac:dyDescent="0.45">
      <c r="A12" s="12" t="s">
        <v>1139</v>
      </c>
      <c r="B12" s="3" t="s">
        <v>1140</v>
      </c>
      <c r="C12" s="12" t="s">
        <v>1134</v>
      </c>
      <c r="E12" s="12" t="str">
        <f t="shared" ref="E12:W12" si="3">"FY-"&amp;E$6</f>
        <v>FY-2021</v>
      </c>
      <c r="F12" s="12" t="str">
        <f t="shared" si="3"/>
        <v>FY-2022</v>
      </c>
      <c r="G12" s="12" t="str">
        <f t="shared" si="3"/>
        <v>FY-2022</v>
      </c>
      <c r="H12" s="12" t="str">
        <f t="shared" si="3"/>
        <v>FY-2022</v>
      </c>
      <c r="I12" s="12" t="str">
        <f t="shared" si="3"/>
        <v>FY-2022</v>
      </c>
      <c r="J12" s="12" t="str">
        <f t="shared" si="3"/>
        <v>FY-2023</v>
      </c>
      <c r="K12" s="12" t="str">
        <f t="shared" si="3"/>
        <v>FY-2023</v>
      </c>
      <c r="L12" s="12" t="str">
        <f t="shared" si="3"/>
        <v>FY-2023</v>
      </c>
      <c r="M12" s="12" t="str">
        <f t="shared" si="3"/>
        <v>FY-2023</v>
      </c>
      <c r="N12" s="12" t="str">
        <f t="shared" si="3"/>
        <v>FY-2024</v>
      </c>
      <c r="O12" s="12" t="str">
        <f t="shared" si="3"/>
        <v>FY-2024</v>
      </c>
      <c r="P12" s="12" t="str">
        <f t="shared" si="3"/>
        <v>FY-2024</v>
      </c>
      <c r="Q12" s="12" t="str">
        <f t="shared" si="3"/>
        <v>FY-2024</v>
      </c>
      <c r="R12" s="12" t="str">
        <f t="shared" si="3"/>
        <v>FY-2025</v>
      </c>
      <c r="S12" s="12" t="str">
        <f t="shared" si="3"/>
        <v>FY-2025</v>
      </c>
      <c r="T12" s="12" t="str">
        <f t="shared" si="3"/>
        <v>FY-2025</v>
      </c>
      <c r="U12" s="12" t="str">
        <f t="shared" si="3"/>
        <v>FY-2025</v>
      </c>
      <c r="V12" s="12" t="str">
        <f t="shared" si="3"/>
        <v>FY-2026</v>
      </c>
      <c r="W12" s="12" t="str">
        <f t="shared" si="3"/>
        <v>FY-2026</v>
      </c>
    </row>
    <row r="13" spans="1:23" x14ac:dyDescent="0.45">
      <c r="A13" s="12" t="s">
        <v>1141</v>
      </c>
      <c r="B13" s="3" t="s">
        <v>1142</v>
      </c>
      <c r="C13" s="12" t="s">
        <v>1134</v>
      </c>
      <c r="E13" s="12" t="str">
        <f t="shared" ref="E13:W13" si="4">"YTD9-"&amp;E$6</f>
        <v>YTD9-2021</v>
      </c>
      <c r="F13" s="12" t="str">
        <f t="shared" si="4"/>
        <v>YTD9-2022</v>
      </c>
      <c r="G13" s="12" t="str">
        <f t="shared" si="4"/>
        <v>YTD9-2022</v>
      </c>
      <c r="H13" s="12" t="str">
        <f t="shared" si="4"/>
        <v>YTD9-2022</v>
      </c>
      <c r="I13" s="12" t="str">
        <f t="shared" si="4"/>
        <v>YTD9-2022</v>
      </c>
      <c r="J13" s="12" t="str">
        <f t="shared" si="4"/>
        <v>YTD9-2023</v>
      </c>
      <c r="K13" s="12" t="str">
        <f t="shared" si="4"/>
        <v>YTD9-2023</v>
      </c>
      <c r="L13" s="12" t="str">
        <f t="shared" si="4"/>
        <v>YTD9-2023</v>
      </c>
      <c r="M13" s="12" t="str">
        <f t="shared" si="4"/>
        <v>YTD9-2023</v>
      </c>
      <c r="N13" s="12" t="str">
        <f t="shared" si="4"/>
        <v>YTD9-2024</v>
      </c>
      <c r="O13" s="12" t="str">
        <f t="shared" si="4"/>
        <v>YTD9-2024</v>
      </c>
      <c r="P13" s="12" t="str">
        <f t="shared" si="4"/>
        <v>YTD9-2024</v>
      </c>
      <c r="Q13" s="12" t="str">
        <f t="shared" si="4"/>
        <v>YTD9-2024</v>
      </c>
      <c r="R13" s="12" t="str">
        <f t="shared" si="4"/>
        <v>YTD9-2025</v>
      </c>
      <c r="S13" s="12" t="str">
        <f t="shared" si="4"/>
        <v>YTD9-2025</v>
      </c>
      <c r="T13" s="12" t="str">
        <f t="shared" si="4"/>
        <v>YTD9-2025</v>
      </c>
      <c r="U13" s="12" t="str">
        <f t="shared" si="4"/>
        <v>YTD9-2025</v>
      </c>
      <c r="V13" s="12" t="str">
        <f t="shared" si="4"/>
        <v>YTD9-2026</v>
      </c>
      <c r="W13" s="12" t="str">
        <f t="shared" si="4"/>
        <v>YTD9-2026</v>
      </c>
    </row>
    <row r="14" spans="1:23" x14ac:dyDescent="0.45">
      <c r="A14" s="12" t="s">
        <v>1143</v>
      </c>
      <c r="B14" s="3" t="s">
        <v>1144</v>
      </c>
      <c r="C14" s="12" t="s">
        <v>1134</v>
      </c>
      <c r="E14" s="12" t="str">
        <f t="shared" ref="E14:W14" si="5">"EOP-"&amp;TEXT(E$8,"yyyy-mm-dd")</f>
        <v>EOP-2021-12-31</v>
      </c>
      <c r="F14" s="12" t="str">
        <f t="shared" si="5"/>
        <v>EOP-2022-03-31</v>
      </c>
      <c r="G14" s="12" t="str">
        <f t="shared" si="5"/>
        <v>EOP-2022-06-30</v>
      </c>
      <c r="H14" s="12" t="str">
        <f t="shared" si="5"/>
        <v>EOP-2022-09-30</v>
      </c>
      <c r="I14" s="12" t="str">
        <f t="shared" si="5"/>
        <v>EOP-2022-12-31</v>
      </c>
      <c r="J14" s="12" t="str">
        <f t="shared" si="5"/>
        <v>EOP-2023-03-31</v>
      </c>
      <c r="K14" s="12" t="str">
        <f t="shared" si="5"/>
        <v>EOP-2023-06-30</v>
      </c>
      <c r="L14" s="12" t="str">
        <f t="shared" si="5"/>
        <v>EOP-2023-09-30</v>
      </c>
      <c r="M14" s="12" t="str">
        <f t="shared" si="5"/>
        <v>EOP-2023-12-31</v>
      </c>
      <c r="N14" s="12" t="str">
        <f t="shared" si="5"/>
        <v>EOP-2024-03-31</v>
      </c>
      <c r="O14" s="12" t="str">
        <f t="shared" si="5"/>
        <v>EOP-2024-06-30</v>
      </c>
      <c r="P14" s="12" t="str">
        <f t="shared" si="5"/>
        <v>EOP-2024-09-30</v>
      </c>
      <c r="Q14" s="12" t="str">
        <f t="shared" si="5"/>
        <v>EOP-2024-12-31</v>
      </c>
      <c r="R14" s="12" t="str">
        <f t="shared" si="5"/>
        <v>EOP-2025-03-31</v>
      </c>
      <c r="S14" s="12" t="str">
        <f t="shared" si="5"/>
        <v>EOP-2025-06-30</v>
      </c>
      <c r="T14" s="12" t="str">
        <f t="shared" si="5"/>
        <v>EOP-2025-09-30</v>
      </c>
      <c r="U14" s="12" t="str">
        <f t="shared" si="5"/>
        <v>EOP-2025-12-31</v>
      </c>
      <c r="V14" s="12" t="str">
        <f t="shared" si="5"/>
        <v>EOP-2026-03-31</v>
      </c>
      <c r="W14" s="12" t="str">
        <f t="shared" si="5"/>
        <v>EOP-2026-06-30</v>
      </c>
    </row>
    <row r="16" spans="1:23" x14ac:dyDescent="0.45">
      <c r="A16" s="21"/>
      <c r="B16" s="22" t="s">
        <v>1145</v>
      </c>
      <c r="C16" s="21"/>
      <c r="D16" s="21"/>
      <c r="E16" s="21"/>
      <c r="F16" s="21"/>
      <c r="G16" s="21"/>
      <c r="H16" s="21"/>
      <c r="I16" s="21"/>
      <c r="J16" s="21"/>
      <c r="K16" s="21"/>
      <c r="L16" s="21"/>
      <c r="M16" s="21"/>
      <c r="N16" s="21"/>
      <c r="O16" s="21"/>
      <c r="P16" s="21"/>
      <c r="Q16" s="21"/>
      <c r="R16" s="21"/>
      <c r="S16" s="21"/>
      <c r="T16" s="21"/>
      <c r="U16" s="21"/>
      <c r="V16" s="21"/>
      <c r="W16" s="21"/>
    </row>
    <row r="17" spans="1:23" x14ac:dyDescent="0.45">
      <c r="A17" s="12" t="s">
        <v>350</v>
      </c>
      <c r="B17" s="3" t="s">
        <v>351</v>
      </c>
      <c r="C17" s="12" t="s">
        <v>70</v>
      </c>
      <c r="E17" s="50">
        <f t="shared" ref="E17:N26" si="6">IF(E$7=QuartersPerYear,SUMIFS(Src_Val,Src_Key,$A17,Src_PK,E$10)-SUMIFS(Src_Val,Src_Key,$A17,Src_PK,E$13),SUMIFS(Src_Val,Src_Key,$A17,Src_PK,E$9))</f>
        <v>54</v>
      </c>
      <c r="F17" s="50">
        <f t="shared" si="6"/>
        <v>63</v>
      </c>
      <c r="G17" s="50">
        <f t="shared" si="6"/>
        <v>76</v>
      </c>
      <c r="H17" s="50">
        <f t="shared" si="6"/>
        <v>90</v>
      </c>
      <c r="I17" s="50">
        <f t="shared" si="6"/>
        <v>94</v>
      </c>
      <c r="J17" s="50">
        <f t="shared" si="6"/>
        <v>107</v>
      </c>
      <c r="K17" s="50">
        <f t="shared" si="6"/>
        <v>121</v>
      </c>
      <c r="L17" s="50">
        <f t="shared" si="6"/>
        <v>131</v>
      </c>
      <c r="M17" s="50">
        <f t="shared" si="6"/>
        <v>142</v>
      </c>
      <c r="N17" s="50">
        <f t="shared" si="6"/>
        <v>151</v>
      </c>
      <c r="O17" s="50">
        <f t="shared" ref="O17:W26" si="7">IF(O$7=QuartersPerYear,SUMIFS(Src_Val,Src_Key,$A17,Src_PK,O$10)-SUMIFS(Src_Val,Src_Key,$A17,Src_PK,O$13),SUMIFS(Src_Val,Src_Key,$A17,Src_PK,O$9))</f>
        <v>166</v>
      </c>
      <c r="P17" s="50">
        <f t="shared" si="7"/>
        <v>189</v>
      </c>
      <c r="Q17" s="50">
        <f t="shared" si="7"/>
        <v>200</v>
      </c>
      <c r="R17" s="50">
        <f t="shared" si="7"/>
        <v>209</v>
      </c>
      <c r="S17" s="50">
        <f t="shared" si="7"/>
        <v>227</v>
      </c>
      <c r="T17" s="50">
        <f t="shared" si="7"/>
        <v>244</v>
      </c>
      <c r="U17" s="50">
        <f t="shared" si="7"/>
        <v>256</v>
      </c>
      <c r="V17" s="50">
        <f t="shared" si="7"/>
        <v>268</v>
      </c>
      <c r="W17" s="50">
        <f t="shared" si="7"/>
        <v>290</v>
      </c>
    </row>
    <row r="18" spans="1:23" x14ac:dyDescent="0.45">
      <c r="A18" s="12" t="s">
        <v>369</v>
      </c>
      <c r="B18" s="3" t="s">
        <v>370</v>
      </c>
      <c r="C18" s="12" t="s">
        <v>70</v>
      </c>
      <c r="E18" s="50">
        <f t="shared" si="6"/>
        <v>421</v>
      </c>
      <c r="F18" s="50">
        <f t="shared" si="6"/>
        <v>438</v>
      </c>
      <c r="G18" s="50">
        <f t="shared" si="6"/>
        <v>562</v>
      </c>
      <c r="H18" s="50">
        <f t="shared" si="6"/>
        <v>628</v>
      </c>
      <c r="I18" s="50">
        <f t="shared" si="6"/>
        <v>640</v>
      </c>
      <c r="J18" s="50">
        <f t="shared" si="6"/>
        <v>673</v>
      </c>
      <c r="K18" s="50">
        <f t="shared" si="6"/>
        <v>808</v>
      </c>
      <c r="L18" s="50">
        <f t="shared" si="6"/>
        <v>856</v>
      </c>
      <c r="M18" s="50">
        <f t="shared" si="6"/>
        <v>851</v>
      </c>
      <c r="N18" s="50">
        <f t="shared" si="6"/>
        <v>873</v>
      </c>
      <c r="O18" s="50">
        <f t="shared" si="7"/>
        <v>1023</v>
      </c>
      <c r="P18" s="50">
        <f t="shared" si="7"/>
        <v>1067</v>
      </c>
      <c r="Q18" s="50">
        <f t="shared" si="7"/>
        <v>1090</v>
      </c>
      <c r="R18" s="50">
        <f t="shared" si="7"/>
        <v>1082</v>
      </c>
      <c r="S18" s="50">
        <f t="shared" si="7"/>
        <v>1276</v>
      </c>
      <c r="T18" s="50">
        <f t="shared" si="7"/>
        <v>1345</v>
      </c>
      <c r="U18" s="50">
        <f t="shared" si="7"/>
        <v>1334</v>
      </c>
      <c r="V18" s="50">
        <f t="shared" si="7"/>
        <v>1323</v>
      </c>
      <c r="W18" s="50">
        <f t="shared" si="7"/>
        <v>1570</v>
      </c>
    </row>
    <row r="19" spans="1:23" x14ac:dyDescent="0.45">
      <c r="A19" s="12" t="s">
        <v>384</v>
      </c>
      <c r="B19" s="3" t="s">
        <v>69</v>
      </c>
      <c r="C19" s="12" t="s">
        <v>70</v>
      </c>
      <c r="E19" s="50">
        <f t="shared" si="6"/>
        <v>512</v>
      </c>
      <c r="F19" s="50">
        <f t="shared" si="6"/>
        <v>535</v>
      </c>
      <c r="G19" s="50">
        <f t="shared" si="6"/>
        <v>675</v>
      </c>
      <c r="H19" s="50">
        <f t="shared" si="6"/>
        <v>752</v>
      </c>
      <c r="I19" s="50">
        <f t="shared" si="6"/>
        <v>768</v>
      </c>
      <c r="J19" s="50">
        <f t="shared" si="6"/>
        <v>819</v>
      </c>
      <c r="K19" s="50">
        <f t="shared" si="6"/>
        <v>978</v>
      </c>
      <c r="L19" s="50">
        <f t="shared" si="6"/>
        <v>1032</v>
      </c>
      <c r="M19" s="50">
        <f t="shared" si="6"/>
        <v>1036</v>
      </c>
      <c r="N19" s="50">
        <f t="shared" si="6"/>
        <v>1075</v>
      </c>
      <c r="O19" s="50">
        <f t="shared" si="7"/>
        <v>1242</v>
      </c>
      <c r="P19" s="50">
        <f t="shared" si="7"/>
        <v>1305</v>
      </c>
      <c r="Q19" s="50">
        <f t="shared" si="7"/>
        <v>1338</v>
      </c>
      <c r="R19" s="50">
        <f t="shared" si="7"/>
        <v>1337</v>
      </c>
      <c r="S19" s="50">
        <f t="shared" si="7"/>
        <v>1550</v>
      </c>
      <c r="T19" s="50">
        <f t="shared" si="7"/>
        <v>1633</v>
      </c>
      <c r="U19" s="50">
        <f t="shared" si="7"/>
        <v>1633</v>
      </c>
      <c r="V19" s="50">
        <f t="shared" si="7"/>
        <v>1630</v>
      </c>
      <c r="W19" s="50">
        <f t="shared" si="7"/>
        <v>1908</v>
      </c>
    </row>
    <row r="20" spans="1:23" x14ac:dyDescent="0.45">
      <c r="A20" s="12" t="s">
        <v>392</v>
      </c>
      <c r="B20" s="3" t="s">
        <v>393</v>
      </c>
      <c r="C20" s="12" t="s">
        <v>70</v>
      </c>
      <c r="E20" s="50">
        <f t="shared" si="6"/>
        <v>22</v>
      </c>
      <c r="F20" s="50">
        <f t="shared" si="6"/>
        <v>25</v>
      </c>
      <c r="G20" s="50">
        <f t="shared" si="6"/>
        <v>27</v>
      </c>
      <c r="H20" s="50">
        <f t="shared" si="6"/>
        <v>29</v>
      </c>
      <c r="I20" s="50">
        <f t="shared" si="6"/>
        <v>31</v>
      </c>
      <c r="J20" s="50">
        <f t="shared" si="6"/>
        <v>36</v>
      </c>
      <c r="K20" s="50">
        <f t="shared" si="6"/>
        <v>39</v>
      </c>
      <c r="L20" s="50">
        <f t="shared" si="6"/>
        <v>43</v>
      </c>
      <c r="M20" s="50">
        <f t="shared" si="6"/>
        <v>48</v>
      </c>
      <c r="N20" s="50">
        <f t="shared" si="6"/>
        <v>50</v>
      </c>
      <c r="O20" s="50">
        <f t="shared" si="7"/>
        <v>53</v>
      </c>
      <c r="P20" s="50">
        <f t="shared" si="7"/>
        <v>56</v>
      </c>
      <c r="Q20" s="50">
        <f t="shared" si="7"/>
        <v>60</v>
      </c>
      <c r="R20" s="50">
        <f t="shared" si="7"/>
        <v>66</v>
      </c>
      <c r="S20" s="50">
        <f t="shared" si="7"/>
        <v>64</v>
      </c>
      <c r="T20" s="50">
        <f t="shared" si="7"/>
        <v>67</v>
      </c>
      <c r="U20" s="50">
        <f t="shared" si="7"/>
        <v>67</v>
      </c>
      <c r="V20" s="50">
        <f t="shared" si="7"/>
        <v>60</v>
      </c>
      <c r="W20" s="50">
        <f t="shared" si="7"/>
        <v>64</v>
      </c>
    </row>
    <row r="21" spans="1:23" x14ac:dyDescent="0.45">
      <c r="A21" s="12" t="s">
        <v>395</v>
      </c>
      <c r="B21" s="3" t="s">
        <v>1146</v>
      </c>
      <c r="C21" s="12" t="s">
        <v>70</v>
      </c>
      <c r="E21" s="50">
        <f t="shared" si="6"/>
        <v>341</v>
      </c>
      <c r="F21" s="50">
        <f t="shared" si="6"/>
        <v>347</v>
      </c>
      <c r="G21" s="50">
        <f t="shared" si="6"/>
        <v>448</v>
      </c>
      <c r="H21" s="50">
        <f t="shared" si="6"/>
        <v>494</v>
      </c>
      <c r="I21" s="50">
        <f t="shared" si="6"/>
        <v>503</v>
      </c>
      <c r="J21" s="50">
        <f t="shared" si="6"/>
        <v>523</v>
      </c>
      <c r="K21" s="50">
        <f t="shared" si="6"/>
        <v>631</v>
      </c>
      <c r="L21" s="50">
        <f t="shared" si="6"/>
        <v>674</v>
      </c>
      <c r="M21" s="50">
        <f t="shared" si="6"/>
        <v>675</v>
      </c>
      <c r="N21" s="50">
        <f t="shared" si="6"/>
        <v>683</v>
      </c>
      <c r="O21" s="50">
        <f t="shared" si="7"/>
        <v>806</v>
      </c>
      <c r="P21" s="50">
        <f t="shared" si="7"/>
        <v>835</v>
      </c>
      <c r="Q21" s="50">
        <f t="shared" si="7"/>
        <v>852</v>
      </c>
      <c r="R21" s="50">
        <f t="shared" si="7"/>
        <v>831</v>
      </c>
      <c r="S21" s="50">
        <f t="shared" si="7"/>
        <v>992</v>
      </c>
      <c r="T21" s="50">
        <f t="shared" si="7"/>
        <v>1032</v>
      </c>
      <c r="U21" s="50">
        <f t="shared" si="7"/>
        <v>1036</v>
      </c>
      <c r="V21" s="50">
        <f t="shared" si="7"/>
        <v>1011</v>
      </c>
      <c r="W21" s="50">
        <f t="shared" si="7"/>
        <v>1211</v>
      </c>
    </row>
    <row r="22" spans="1:23" x14ac:dyDescent="0.45">
      <c r="A22" s="12" t="s">
        <v>417</v>
      </c>
      <c r="B22" s="3" t="s">
        <v>1147</v>
      </c>
      <c r="C22" s="12" t="s">
        <v>70</v>
      </c>
      <c r="E22" s="50">
        <f t="shared" si="6"/>
        <v>1</v>
      </c>
      <c r="F22" s="50">
        <f t="shared" si="6"/>
        <v>1</v>
      </c>
      <c r="G22" s="50">
        <f t="shared" si="6"/>
        <v>1</v>
      </c>
      <c r="H22" s="50">
        <f t="shared" si="6"/>
        <v>1</v>
      </c>
      <c r="I22" s="50">
        <f t="shared" si="6"/>
        <v>1</v>
      </c>
      <c r="J22" s="50">
        <f t="shared" si="6"/>
        <v>1</v>
      </c>
      <c r="K22" s="50">
        <f t="shared" si="6"/>
        <v>1</v>
      </c>
      <c r="L22" s="50">
        <f t="shared" si="6"/>
        <v>1</v>
      </c>
      <c r="M22" s="50">
        <f t="shared" si="6"/>
        <v>1</v>
      </c>
      <c r="N22" s="50">
        <f t="shared" si="6"/>
        <v>1</v>
      </c>
      <c r="O22" s="50">
        <f t="shared" si="7"/>
        <v>1</v>
      </c>
      <c r="P22" s="50">
        <f t="shared" si="7"/>
        <v>1</v>
      </c>
      <c r="Q22" s="50">
        <f t="shared" si="7"/>
        <v>1</v>
      </c>
      <c r="R22" s="50">
        <f t="shared" si="7"/>
        <v>1</v>
      </c>
      <c r="S22" s="50">
        <f t="shared" si="7"/>
        <v>1</v>
      </c>
      <c r="T22" s="50">
        <f t="shared" si="7"/>
        <v>1</v>
      </c>
      <c r="U22" s="50">
        <f t="shared" si="7"/>
        <v>2</v>
      </c>
      <c r="V22" s="50">
        <f t="shared" si="7"/>
        <v>1</v>
      </c>
      <c r="W22" s="50">
        <f t="shared" si="7"/>
        <v>1</v>
      </c>
    </row>
    <row r="23" spans="1:23" x14ac:dyDescent="0.45">
      <c r="A23" s="12" t="s">
        <v>443</v>
      </c>
      <c r="B23" s="3" t="s">
        <v>444</v>
      </c>
      <c r="C23" s="12" t="s">
        <v>70</v>
      </c>
      <c r="E23" s="50">
        <f t="shared" si="6"/>
        <v>439</v>
      </c>
      <c r="F23" s="50">
        <f t="shared" si="6"/>
        <v>446</v>
      </c>
      <c r="G23" s="50">
        <f t="shared" si="6"/>
        <v>562</v>
      </c>
      <c r="H23" s="50">
        <f t="shared" si="6"/>
        <v>601</v>
      </c>
      <c r="I23" s="50">
        <f t="shared" si="6"/>
        <v>610</v>
      </c>
      <c r="J23" s="50">
        <f t="shared" si="6"/>
        <v>645</v>
      </c>
      <c r="K23" s="50">
        <f t="shared" si="6"/>
        <v>770</v>
      </c>
      <c r="L23" s="50">
        <f t="shared" si="6"/>
        <v>806</v>
      </c>
      <c r="M23" s="50">
        <f t="shared" si="6"/>
        <v>810</v>
      </c>
      <c r="N23" s="50">
        <f t="shared" si="6"/>
        <v>826</v>
      </c>
      <c r="O23" s="50">
        <f t="shared" si="7"/>
        <v>956</v>
      </c>
      <c r="P23" s="50">
        <f t="shared" si="7"/>
        <v>983</v>
      </c>
      <c r="Q23" s="50">
        <f t="shared" si="7"/>
        <v>1005</v>
      </c>
      <c r="R23" s="50">
        <f t="shared" si="7"/>
        <v>991</v>
      </c>
      <c r="S23" s="50">
        <f t="shared" si="7"/>
        <v>1158</v>
      </c>
      <c r="T23" s="50">
        <f t="shared" si="7"/>
        <v>1201</v>
      </c>
      <c r="U23" s="50">
        <f t="shared" si="7"/>
        <v>1210</v>
      </c>
      <c r="V23" s="50">
        <f t="shared" si="7"/>
        <v>1183</v>
      </c>
      <c r="W23" s="50">
        <f t="shared" si="7"/>
        <v>1392</v>
      </c>
    </row>
    <row r="24" spans="1:23" x14ac:dyDescent="0.45">
      <c r="A24" s="12" t="s">
        <v>445</v>
      </c>
      <c r="B24" s="3" t="s">
        <v>446</v>
      </c>
      <c r="C24" s="12" t="s">
        <v>70</v>
      </c>
      <c r="E24" s="50">
        <f t="shared" si="6"/>
        <v>73</v>
      </c>
      <c r="F24" s="50">
        <f t="shared" si="6"/>
        <v>89</v>
      </c>
      <c r="G24" s="50">
        <f t="shared" si="6"/>
        <v>113</v>
      </c>
      <c r="H24" s="50">
        <f t="shared" si="6"/>
        <v>151</v>
      </c>
      <c r="I24" s="50">
        <f t="shared" si="6"/>
        <v>158</v>
      </c>
      <c r="J24" s="50">
        <f t="shared" si="6"/>
        <v>174</v>
      </c>
      <c r="K24" s="50">
        <f t="shared" si="6"/>
        <v>208</v>
      </c>
      <c r="L24" s="50">
        <f t="shared" si="6"/>
        <v>226</v>
      </c>
      <c r="M24" s="50">
        <f t="shared" si="6"/>
        <v>226</v>
      </c>
      <c r="N24" s="50">
        <f t="shared" si="6"/>
        <v>249</v>
      </c>
      <c r="O24" s="50">
        <f t="shared" si="7"/>
        <v>286</v>
      </c>
      <c r="P24" s="50">
        <f t="shared" si="7"/>
        <v>322</v>
      </c>
      <c r="Q24" s="50">
        <f t="shared" si="7"/>
        <v>333</v>
      </c>
      <c r="R24" s="50">
        <f t="shared" si="7"/>
        <v>346</v>
      </c>
      <c r="S24" s="50">
        <f t="shared" si="7"/>
        <v>392</v>
      </c>
      <c r="T24" s="50">
        <f t="shared" si="7"/>
        <v>432</v>
      </c>
      <c r="U24" s="50">
        <f t="shared" si="7"/>
        <v>423</v>
      </c>
      <c r="V24" s="50">
        <f t="shared" si="7"/>
        <v>447</v>
      </c>
      <c r="W24" s="50">
        <f t="shared" si="7"/>
        <v>516</v>
      </c>
    </row>
    <row r="25" spans="1:23" x14ac:dyDescent="0.45">
      <c r="A25" s="12" t="s">
        <v>450</v>
      </c>
      <c r="B25" s="3" t="s">
        <v>451</v>
      </c>
      <c r="C25" s="12" t="s">
        <v>70</v>
      </c>
      <c r="E25" s="50">
        <f t="shared" si="6"/>
        <v>60</v>
      </c>
      <c r="F25" s="50">
        <f t="shared" si="6"/>
        <v>71</v>
      </c>
      <c r="G25" s="50">
        <f t="shared" si="6"/>
        <v>77</v>
      </c>
      <c r="H25" s="50">
        <f t="shared" si="6"/>
        <v>84</v>
      </c>
      <c r="I25" s="50">
        <f t="shared" si="6"/>
        <v>87</v>
      </c>
      <c r="J25" s="50">
        <f t="shared" si="6"/>
        <v>99</v>
      </c>
      <c r="K25" s="50">
        <f t="shared" si="6"/>
        <v>100</v>
      </c>
      <c r="L25" s="50">
        <f t="shared" si="6"/>
        <v>100</v>
      </c>
      <c r="M25" s="50">
        <f t="shared" si="6"/>
        <v>102</v>
      </c>
      <c r="N25" s="50">
        <f t="shared" si="6"/>
        <v>107</v>
      </c>
      <c r="O25" s="50">
        <f t="shared" si="7"/>
        <v>115</v>
      </c>
      <c r="P25" s="50">
        <f t="shared" si="7"/>
        <v>119</v>
      </c>
      <c r="Q25" s="50">
        <f t="shared" si="7"/>
        <v>130</v>
      </c>
      <c r="R25" s="50">
        <f t="shared" si="7"/>
        <v>133</v>
      </c>
      <c r="S25" s="50">
        <f t="shared" si="7"/>
        <v>141</v>
      </c>
      <c r="T25" s="50">
        <f t="shared" si="7"/>
        <v>144</v>
      </c>
      <c r="U25" s="50">
        <f t="shared" si="7"/>
        <v>153</v>
      </c>
      <c r="V25" s="50">
        <f t="shared" si="7"/>
        <v>156</v>
      </c>
      <c r="W25" s="50">
        <f t="shared" si="7"/>
        <v>166</v>
      </c>
    </row>
    <row r="26" spans="1:23" x14ac:dyDescent="0.45">
      <c r="A26" s="12" t="s">
        <v>452</v>
      </c>
      <c r="B26" s="3" t="s">
        <v>453</v>
      </c>
      <c r="C26" s="12" t="s">
        <v>70</v>
      </c>
      <c r="E26" s="50">
        <f t="shared" si="6"/>
        <v>50</v>
      </c>
      <c r="F26" s="50">
        <f t="shared" si="6"/>
        <v>62</v>
      </c>
      <c r="G26" s="50">
        <f t="shared" si="6"/>
        <v>67</v>
      </c>
      <c r="H26" s="50">
        <f t="shared" si="6"/>
        <v>74</v>
      </c>
      <c r="I26" s="50">
        <f t="shared" si="6"/>
        <v>79</v>
      </c>
      <c r="J26" s="50">
        <f t="shared" si="6"/>
        <v>85</v>
      </c>
      <c r="K26" s="50">
        <f t="shared" si="6"/>
        <v>92</v>
      </c>
      <c r="L26" s="50">
        <f t="shared" si="6"/>
        <v>87</v>
      </c>
      <c r="M26" s="50">
        <f t="shared" si="6"/>
        <v>94</v>
      </c>
      <c r="N26" s="50">
        <f t="shared" si="6"/>
        <v>83</v>
      </c>
      <c r="O26" s="50">
        <f t="shared" si="7"/>
        <v>87</v>
      </c>
      <c r="P26" s="50">
        <f t="shared" si="7"/>
        <v>89</v>
      </c>
      <c r="Q26" s="50">
        <f t="shared" si="7"/>
        <v>93</v>
      </c>
      <c r="R26" s="50">
        <f t="shared" si="7"/>
        <v>84</v>
      </c>
      <c r="S26" s="50">
        <f t="shared" si="7"/>
        <v>91</v>
      </c>
      <c r="T26" s="50">
        <f t="shared" si="7"/>
        <v>102</v>
      </c>
      <c r="U26" s="50">
        <f t="shared" si="7"/>
        <v>97</v>
      </c>
      <c r="V26" s="50">
        <f t="shared" si="7"/>
        <v>97</v>
      </c>
      <c r="W26" s="50">
        <f t="shared" si="7"/>
        <v>109</v>
      </c>
    </row>
    <row r="27" spans="1:23" x14ac:dyDescent="0.45">
      <c r="A27" s="12" t="s">
        <v>454</v>
      </c>
      <c r="B27" s="3" t="s">
        <v>455</v>
      </c>
      <c r="C27" s="12" t="s">
        <v>70</v>
      </c>
      <c r="E27" s="50">
        <f t="shared" ref="E27:N34" si="8">IF(E$7=QuartersPerYear,SUMIFS(Src_Val,Src_Key,$A27,Src_PK,E$10)-SUMIFS(Src_Val,Src_Key,$A27,Src_PK,E$13),SUMIFS(Src_Val,Src_Key,$A27,Src_PK,E$9))</f>
        <v>79</v>
      </c>
      <c r="F27" s="50">
        <f t="shared" si="8"/>
        <v>57</v>
      </c>
      <c r="G27" s="50">
        <f t="shared" si="8"/>
        <v>68</v>
      </c>
      <c r="H27" s="50">
        <f t="shared" si="8"/>
        <v>78</v>
      </c>
      <c r="I27" s="50">
        <f t="shared" si="8"/>
        <v>91</v>
      </c>
      <c r="J27" s="50">
        <f t="shared" si="8"/>
        <v>82</v>
      </c>
      <c r="K27" s="50">
        <f t="shared" si="8"/>
        <v>96</v>
      </c>
      <c r="L27" s="50">
        <f t="shared" si="8"/>
        <v>98</v>
      </c>
      <c r="M27" s="50">
        <f t="shared" si="8"/>
        <v>86</v>
      </c>
      <c r="N27" s="50">
        <f t="shared" si="8"/>
        <v>74</v>
      </c>
      <c r="O27" s="50">
        <f t="shared" ref="O27:W34" si="9">IF(O$7=QuartersPerYear,SUMIFS(Src_Val,Src_Key,$A27,Src_PK,O$10)-SUMIFS(Src_Val,Src_Key,$A27,Src_PK,O$13),SUMIFS(Src_Val,Src_Key,$A27,Src_PK,O$9))</f>
        <v>75</v>
      </c>
      <c r="P27" s="50">
        <f t="shared" si="9"/>
        <v>80</v>
      </c>
      <c r="Q27" s="50">
        <f t="shared" si="9"/>
        <v>78</v>
      </c>
      <c r="R27" s="50">
        <f t="shared" si="9"/>
        <v>79</v>
      </c>
      <c r="S27" s="50">
        <f t="shared" si="9"/>
        <v>79</v>
      </c>
      <c r="T27" s="50">
        <f t="shared" si="9"/>
        <v>102</v>
      </c>
      <c r="U27" s="50">
        <f t="shared" si="9"/>
        <v>84</v>
      </c>
      <c r="V27" s="50">
        <f t="shared" si="9"/>
        <v>84</v>
      </c>
      <c r="W27" s="50">
        <f t="shared" si="9"/>
        <v>89</v>
      </c>
    </row>
    <row r="28" spans="1:23" x14ac:dyDescent="0.45">
      <c r="A28" s="12" t="s">
        <v>456</v>
      </c>
      <c r="B28" s="3" t="s">
        <v>457</v>
      </c>
      <c r="C28" s="12" t="s">
        <v>70</v>
      </c>
      <c r="E28" s="50">
        <f t="shared" si="8"/>
        <v>0</v>
      </c>
      <c r="F28" s="50">
        <f t="shared" si="8"/>
        <v>0</v>
      </c>
      <c r="G28" s="50">
        <f t="shared" si="8"/>
        <v>0</v>
      </c>
      <c r="H28" s="50">
        <f t="shared" si="8"/>
        <v>0</v>
      </c>
      <c r="I28" s="50">
        <f t="shared" si="8"/>
        <v>0</v>
      </c>
      <c r="J28" s="50">
        <f t="shared" si="8"/>
        <v>0</v>
      </c>
      <c r="K28" s="50">
        <f t="shared" si="8"/>
        <v>0</v>
      </c>
      <c r="L28" s="50">
        <f t="shared" si="8"/>
        <v>0</v>
      </c>
      <c r="M28" s="50">
        <f t="shared" si="8"/>
        <v>0</v>
      </c>
      <c r="N28" s="50">
        <f t="shared" si="8"/>
        <v>41</v>
      </c>
      <c r="O28" s="50">
        <f t="shared" si="9"/>
        <v>4</v>
      </c>
      <c r="P28" s="50">
        <f t="shared" si="9"/>
        <v>0</v>
      </c>
      <c r="Q28" s="50">
        <f t="shared" si="9"/>
        <v>0</v>
      </c>
      <c r="R28" s="50">
        <f t="shared" si="9"/>
        <v>7</v>
      </c>
      <c r="S28" s="50">
        <f t="shared" si="9"/>
        <v>1</v>
      </c>
      <c r="T28" s="50">
        <f t="shared" si="9"/>
        <v>0</v>
      </c>
      <c r="U28" s="50">
        <f t="shared" si="9"/>
        <v>4</v>
      </c>
      <c r="V28" s="50">
        <f t="shared" si="9"/>
        <v>0</v>
      </c>
      <c r="W28" s="50">
        <f t="shared" si="9"/>
        <v>0</v>
      </c>
    </row>
    <row r="29" spans="1:23" x14ac:dyDescent="0.45">
      <c r="A29" s="12" t="s">
        <v>458</v>
      </c>
      <c r="B29" s="3" t="s">
        <v>459</v>
      </c>
      <c r="C29" s="12" t="s">
        <v>70</v>
      </c>
      <c r="E29" s="50">
        <f t="shared" si="8"/>
        <v>189</v>
      </c>
      <c r="F29" s="50">
        <f t="shared" si="8"/>
        <v>190</v>
      </c>
      <c r="G29" s="50">
        <f t="shared" si="8"/>
        <v>212</v>
      </c>
      <c r="H29" s="50">
        <f t="shared" si="8"/>
        <v>236</v>
      </c>
      <c r="I29" s="50">
        <f t="shared" si="8"/>
        <v>257</v>
      </c>
      <c r="J29" s="50">
        <f t="shared" si="8"/>
        <v>266</v>
      </c>
      <c r="K29" s="50">
        <f t="shared" si="8"/>
        <v>288</v>
      </c>
      <c r="L29" s="50">
        <f t="shared" si="8"/>
        <v>285</v>
      </c>
      <c r="M29" s="50">
        <f t="shared" si="8"/>
        <v>282</v>
      </c>
      <c r="N29" s="50">
        <f t="shared" si="8"/>
        <v>305</v>
      </c>
      <c r="O29" s="50">
        <f t="shared" si="9"/>
        <v>281</v>
      </c>
      <c r="P29" s="50">
        <f t="shared" si="9"/>
        <v>288</v>
      </c>
      <c r="Q29" s="50">
        <f t="shared" si="9"/>
        <v>301</v>
      </c>
      <c r="R29" s="50">
        <f t="shared" si="9"/>
        <v>303</v>
      </c>
      <c r="S29" s="50">
        <f t="shared" si="9"/>
        <v>312</v>
      </c>
      <c r="T29" s="50">
        <f t="shared" si="9"/>
        <v>348</v>
      </c>
      <c r="U29" s="50">
        <f t="shared" si="9"/>
        <v>338</v>
      </c>
      <c r="V29" s="50">
        <f t="shared" si="9"/>
        <v>337</v>
      </c>
      <c r="W29" s="50">
        <f t="shared" si="9"/>
        <v>364</v>
      </c>
    </row>
    <row r="30" spans="1:23" x14ac:dyDescent="0.45">
      <c r="A30" s="12" t="s">
        <v>462</v>
      </c>
      <c r="B30" s="3" t="s">
        <v>463</v>
      </c>
      <c r="C30" s="12" t="s">
        <v>70</v>
      </c>
      <c r="E30" s="50">
        <f t="shared" si="8"/>
        <v>-116</v>
      </c>
      <c r="F30" s="50">
        <f t="shared" si="8"/>
        <v>-101</v>
      </c>
      <c r="G30" s="50">
        <f t="shared" si="8"/>
        <v>-99</v>
      </c>
      <c r="H30" s="50">
        <f t="shared" si="8"/>
        <v>-85</v>
      </c>
      <c r="I30" s="50">
        <f t="shared" si="8"/>
        <v>-99</v>
      </c>
      <c r="J30" s="50">
        <f t="shared" si="8"/>
        <v>-92</v>
      </c>
      <c r="K30" s="50">
        <f t="shared" si="8"/>
        <v>-80</v>
      </c>
      <c r="L30" s="50">
        <f t="shared" si="8"/>
        <v>-59</v>
      </c>
      <c r="M30" s="50">
        <f t="shared" si="8"/>
        <v>-56</v>
      </c>
      <c r="N30" s="50">
        <f t="shared" si="8"/>
        <v>-56</v>
      </c>
      <c r="O30" s="50">
        <f t="shared" si="9"/>
        <v>5</v>
      </c>
      <c r="P30" s="50">
        <f t="shared" si="9"/>
        <v>34</v>
      </c>
      <c r="Q30" s="50">
        <f t="shared" si="9"/>
        <v>32</v>
      </c>
      <c r="R30" s="50">
        <f t="shared" si="9"/>
        <v>43</v>
      </c>
      <c r="S30" s="50">
        <f t="shared" si="9"/>
        <v>80</v>
      </c>
      <c r="T30" s="50">
        <f t="shared" si="9"/>
        <v>84</v>
      </c>
      <c r="U30" s="50">
        <f t="shared" si="9"/>
        <v>85</v>
      </c>
      <c r="V30" s="50">
        <f t="shared" si="9"/>
        <v>110</v>
      </c>
      <c r="W30" s="50">
        <f t="shared" si="9"/>
        <v>152</v>
      </c>
    </row>
    <row r="31" spans="1:23" x14ac:dyDescent="0.45">
      <c r="A31" s="12" t="s">
        <v>466</v>
      </c>
      <c r="B31" s="3" t="s">
        <v>1148</v>
      </c>
      <c r="C31" s="12" t="s">
        <v>70</v>
      </c>
      <c r="E31" s="50">
        <f t="shared" si="8"/>
        <v>0</v>
      </c>
      <c r="F31" s="50">
        <f t="shared" si="8"/>
        <v>0</v>
      </c>
      <c r="G31" s="50">
        <f t="shared" si="8"/>
        <v>1</v>
      </c>
      <c r="H31" s="50">
        <f t="shared" si="8"/>
        <v>3</v>
      </c>
      <c r="I31" s="50">
        <f t="shared" si="8"/>
        <v>6</v>
      </c>
      <c r="J31" s="50">
        <f t="shared" si="8"/>
        <v>8</v>
      </c>
      <c r="K31" s="50">
        <f t="shared" si="8"/>
        <v>9</v>
      </c>
      <c r="L31" s="50">
        <f t="shared" si="8"/>
        <v>10</v>
      </c>
      <c r="M31" s="50">
        <f t="shared" si="8"/>
        <v>10</v>
      </c>
      <c r="N31" s="50">
        <f t="shared" si="8"/>
        <v>10</v>
      </c>
      <c r="O31" s="50">
        <f t="shared" si="9"/>
        <v>10</v>
      </c>
      <c r="P31" s="50">
        <f t="shared" si="9"/>
        <v>9</v>
      </c>
      <c r="Q31" s="50">
        <f t="shared" si="9"/>
        <v>12</v>
      </c>
      <c r="R31" s="50">
        <f t="shared" si="9"/>
        <v>12</v>
      </c>
      <c r="S31" s="50">
        <f t="shared" si="9"/>
        <v>11</v>
      </c>
      <c r="T31" s="50">
        <f t="shared" si="9"/>
        <v>13</v>
      </c>
      <c r="U31" s="50">
        <f t="shared" si="9"/>
        <v>15</v>
      </c>
      <c r="V31" s="50">
        <f t="shared" si="9"/>
        <v>13</v>
      </c>
      <c r="W31" s="50">
        <f t="shared" si="9"/>
        <v>11</v>
      </c>
    </row>
    <row r="32" spans="1:23" x14ac:dyDescent="0.45">
      <c r="A32" s="12" t="s">
        <v>470</v>
      </c>
      <c r="B32" s="3" t="s">
        <v>1149</v>
      </c>
      <c r="C32" s="12" t="s">
        <v>70</v>
      </c>
      <c r="E32" s="50">
        <f t="shared" si="8"/>
        <v>2</v>
      </c>
      <c r="F32" s="50">
        <f t="shared" si="8"/>
        <v>-23</v>
      </c>
      <c r="G32" s="50">
        <f t="shared" si="8"/>
        <v>-54</v>
      </c>
      <c r="H32" s="50">
        <f t="shared" si="8"/>
        <v>-102</v>
      </c>
      <c r="I32" s="50">
        <f t="shared" si="8"/>
        <v>-98</v>
      </c>
      <c r="J32" s="50">
        <f t="shared" si="8"/>
        <v>-81</v>
      </c>
      <c r="K32" s="50">
        <f t="shared" si="8"/>
        <v>-97</v>
      </c>
      <c r="L32" s="50">
        <f t="shared" si="8"/>
        <v>-31</v>
      </c>
      <c r="M32" s="50">
        <f t="shared" si="8"/>
        <v>-35</v>
      </c>
      <c r="N32" s="50">
        <f t="shared" si="8"/>
        <v>-82</v>
      </c>
      <c r="O32" s="50">
        <f t="shared" si="9"/>
        <v>14</v>
      </c>
      <c r="P32" s="50">
        <f t="shared" si="9"/>
        <v>57</v>
      </c>
      <c r="Q32" s="50">
        <f t="shared" si="9"/>
        <v>32</v>
      </c>
      <c r="R32" s="50">
        <f t="shared" si="9"/>
        <v>58</v>
      </c>
      <c r="S32" s="50">
        <f t="shared" si="9"/>
        <v>83</v>
      </c>
      <c r="T32" s="50">
        <f t="shared" si="9"/>
        <v>104</v>
      </c>
      <c r="U32" s="50">
        <f t="shared" si="9"/>
        <v>101</v>
      </c>
      <c r="V32" s="50">
        <f t="shared" si="9"/>
        <v>131</v>
      </c>
      <c r="W32" s="50">
        <f t="shared" si="9"/>
        <v>162</v>
      </c>
    </row>
    <row r="33" spans="1:23" x14ac:dyDescent="0.45">
      <c r="A33" s="12" t="s">
        <v>472</v>
      </c>
      <c r="B33" s="3" t="s">
        <v>473</v>
      </c>
      <c r="C33" s="12" t="s">
        <v>70</v>
      </c>
      <c r="E33" s="50">
        <f t="shared" si="8"/>
        <v>1</v>
      </c>
      <c r="F33" s="50">
        <f t="shared" si="8"/>
        <v>0</v>
      </c>
      <c r="G33" s="50">
        <f t="shared" si="8"/>
        <v>0</v>
      </c>
      <c r="H33" s="50">
        <f t="shared" si="8"/>
        <v>-4</v>
      </c>
      <c r="I33" s="50">
        <f t="shared" si="8"/>
        <v>2</v>
      </c>
      <c r="J33" s="50">
        <f t="shared" si="8"/>
        <v>0</v>
      </c>
      <c r="K33" s="50">
        <f t="shared" si="8"/>
        <v>1</v>
      </c>
      <c r="L33" s="50">
        <f t="shared" si="8"/>
        <v>0</v>
      </c>
      <c r="M33" s="50">
        <f t="shared" si="8"/>
        <v>1</v>
      </c>
      <c r="N33" s="50">
        <f t="shared" si="8"/>
        <v>1</v>
      </c>
      <c r="O33" s="50">
        <f t="shared" si="9"/>
        <v>0</v>
      </c>
      <c r="P33" s="50">
        <f t="shared" si="9"/>
        <v>1</v>
      </c>
      <c r="Q33" s="50">
        <f t="shared" si="9"/>
        <v>0</v>
      </c>
      <c r="R33" s="50">
        <f t="shared" si="9"/>
        <v>2</v>
      </c>
      <c r="S33" s="50">
        <f t="shared" si="9"/>
        <v>3</v>
      </c>
      <c r="T33" s="50">
        <f t="shared" si="9"/>
        <v>-1</v>
      </c>
      <c r="U33" s="50">
        <f t="shared" si="9"/>
        <v>0</v>
      </c>
      <c r="V33" s="50">
        <f t="shared" si="9"/>
        <v>5</v>
      </c>
      <c r="W33" s="50">
        <f t="shared" si="9"/>
        <v>8</v>
      </c>
    </row>
    <row r="34" spans="1:23" x14ac:dyDescent="0.45">
      <c r="A34" s="12" t="s">
        <v>474</v>
      </c>
      <c r="B34" s="3" t="s">
        <v>475</v>
      </c>
      <c r="C34" s="12" t="s">
        <v>70</v>
      </c>
      <c r="E34" s="50">
        <f t="shared" si="8"/>
        <v>1</v>
      </c>
      <c r="F34" s="50">
        <f t="shared" si="8"/>
        <v>-23</v>
      </c>
      <c r="G34" s="50">
        <f t="shared" si="8"/>
        <v>-54</v>
      </c>
      <c r="H34" s="50">
        <f t="shared" si="8"/>
        <v>-98</v>
      </c>
      <c r="I34" s="50">
        <f t="shared" si="8"/>
        <v>-100</v>
      </c>
      <c r="J34" s="50">
        <f t="shared" si="8"/>
        <v>-81</v>
      </c>
      <c r="K34" s="50">
        <f t="shared" si="8"/>
        <v>-98</v>
      </c>
      <c r="L34" s="50">
        <f t="shared" si="8"/>
        <v>-31</v>
      </c>
      <c r="M34" s="50">
        <f t="shared" si="8"/>
        <v>-36</v>
      </c>
      <c r="N34" s="50">
        <f t="shared" si="8"/>
        <v>-83</v>
      </c>
      <c r="O34" s="50">
        <f t="shared" si="9"/>
        <v>14</v>
      </c>
      <c r="P34" s="50">
        <f t="shared" si="9"/>
        <v>56</v>
      </c>
      <c r="Q34" s="50">
        <f t="shared" si="9"/>
        <v>32</v>
      </c>
      <c r="R34" s="50">
        <f t="shared" si="9"/>
        <v>56</v>
      </c>
      <c r="S34" s="50">
        <f t="shared" si="9"/>
        <v>80</v>
      </c>
      <c r="T34" s="50">
        <f t="shared" si="9"/>
        <v>105</v>
      </c>
      <c r="U34" s="50">
        <f t="shared" si="9"/>
        <v>101</v>
      </c>
      <c r="V34" s="50">
        <f t="shared" si="9"/>
        <v>126</v>
      </c>
      <c r="W34" s="50">
        <f t="shared" si="9"/>
        <v>154</v>
      </c>
    </row>
    <row r="35" spans="1:23" x14ac:dyDescent="0.45">
      <c r="A35" s="12" t="s">
        <v>382</v>
      </c>
      <c r="B35" s="3" t="s">
        <v>1150</v>
      </c>
      <c r="C35" s="12" t="s">
        <v>70</v>
      </c>
      <c r="E35" s="50">
        <f t="shared" ref="E35:W35" si="10">E19-E17-E18</f>
        <v>37</v>
      </c>
      <c r="F35" s="50">
        <f t="shared" si="10"/>
        <v>34</v>
      </c>
      <c r="G35" s="50">
        <f t="shared" si="10"/>
        <v>37</v>
      </c>
      <c r="H35" s="50">
        <f t="shared" si="10"/>
        <v>34</v>
      </c>
      <c r="I35" s="50">
        <f t="shared" si="10"/>
        <v>34</v>
      </c>
      <c r="J35" s="50">
        <f t="shared" si="10"/>
        <v>39</v>
      </c>
      <c r="K35" s="50">
        <f t="shared" si="10"/>
        <v>49</v>
      </c>
      <c r="L35" s="50">
        <f t="shared" si="10"/>
        <v>45</v>
      </c>
      <c r="M35" s="50">
        <f t="shared" si="10"/>
        <v>43</v>
      </c>
      <c r="N35" s="50">
        <f t="shared" si="10"/>
        <v>51</v>
      </c>
      <c r="O35" s="50">
        <f t="shared" si="10"/>
        <v>53</v>
      </c>
      <c r="P35" s="50">
        <f t="shared" si="10"/>
        <v>49</v>
      </c>
      <c r="Q35" s="50">
        <f t="shared" si="10"/>
        <v>48</v>
      </c>
      <c r="R35" s="50">
        <f t="shared" si="10"/>
        <v>46</v>
      </c>
      <c r="S35" s="50">
        <f t="shared" si="10"/>
        <v>47</v>
      </c>
      <c r="T35" s="50">
        <f t="shared" si="10"/>
        <v>44</v>
      </c>
      <c r="U35" s="50">
        <f t="shared" si="10"/>
        <v>43</v>
      </c>
      <c r="V35" s="50">
        <f t="shared" si="10"/>
        <v>39</v>
      </c>
      <c r="W35" s="50">
        <f t="shared" si="10"/>
        <v>48</v>
      </c>
    </row>
    <row r="36" spans="1:23" x14ac:dyDescent="0.45">
      <c r="A36" s="12" t="s">
        <v>408</v>
      </c>
      <c r="B36" s="3" t="s">
        <v>1151</v>
      </c>
      <c r="C36" s="12" t="s">
        <v>70</v>
      </c>
      <c r="E36" s="50">
        <f t="shared" ref="E36:W36" si="11">E23-E20-E21-E22</f>
        <v>75</v>
      </c>
      <c r="F36" s="50">
        <f t="shared" si="11"/>
        <v>73</v>
      </c>
      <c r="G36" s="50">
        <f t="shared" si="11"/>
        <v>86</v>
      </c>
      <c r="H36" s="50">
        <f t="shared" si="11"/>
        <v>77</v>
      </c>
      <c r="I36" s="50">
        <f t="shared" si="11"/>
        <v>75</v>
      </c>
      <c r="J36" s="50">
        <f t="shared" si="11"/>
        <v>85</v>
      </c>
      <c r="K36" s="50">
        <f t="shared" si="11"/>
        <v>99</v>
      </c>
      <c r="L36" s="50">
        <f t="shared" si="11"/>
        <v>88</v>
      </c>
      <c r="M36" s="50">
        <f t="shared" si="11"/>
        <v>86</v>
      </c>
      <c r="N36" s="50">
        <f t="shared" si="11"/>
        <v>92</v>
      </c>
      <c r="O36" s="50">
        <f t="shared" si="11"/>
        <v>96</v>
      </c>
      <c r="P36" s="50">
        <f t="shared" si="11"/>
        <v>91</v>
      </c>
      <c r="Q36" s="50">
        <f t="shared" si="11"/>
        <v>92</v>
      </c>
      <c r="R36" s="50">
        <f t="shared" si="11"/>
        <v>93</v>
      </c>
      <c r="S36" s="50">
        <f t="shared" si="11"/>
        <v>101</v>
      </c>
      <c r="T36" s="50">
        <f t="shared" si="11"/>
        <v>101</v>
      </c>
      <c r="U36" s="50">
        <f t="shared" si="11"/>
        <v>105</v>
      </c>
      <c r="V36" s="50">
        <f t="shared" si="11"/>
        <v>111</v>
      </c>
      <c r="W36" s="50">
        <f t="shared" si="11"/>
        <v>116</v>
      </c>
    </row>
    <row r="37" spans="1:23" x14ac:dyDescent="0.45">
      <c r="A37" s="12" t="s">
        <v>468</v>
      </c>
      <c r="B37" s="3" t="s">
        <v>1152</v>
      </c>
      <c r="C37" s="12" t="s">
        <v>70</v>
      </c>
      <c r="E37" s="50">
        <f t="shared" ref="E37:W37" si="12">E32-E30-E31</f>
        <v>118</v>
      </c>
      <c r="F37" s="50">
        <f t="shared" si="12"/>
        <v>78</v>
      </c>
      <c r="G37" s="50">
        <f t="shared" si="12"/>
        <v>44</v>
      </c>
      <c r="H37" s="50">
        <f t="shared" si="12"/>
        <v>-20</v>
      </c>
      <c r="I37" s="50">
        <f t="shared" si="12"/>
        <v>-5</v>
      </c>
      <c r="J37" s="50">
        <f t="shared" si="12"/>
        <v>3</v>
      </c>
      <c r="K37" s="50">
        <f t="shared" si="12"/>
        <v>-26</v>
      </c>
      <c r="L37" s="50">
        <f t="shared" si="12"/>
        <v>18</v>
      </c>
      <c r="M37" s="50">
        <f t="shared" si="12"/>
        <v>11</v>
      </c>
      <c r="N37" s="50">
        <f t="shared" si="12"/>
        <v>-36</v>
      </c>
      <c r="O37" s="50">
        <f t="shared" si="12"/>
        <v>-1</v>
      </c>
      <c r="P37" s="50">
        <f t="shared" si="12"/>
        <v>14</v>
      </c>
      <c r="Q37" s="50">
        <f t="shared" si="12"/>
        <v>-12</v>
      </c>
      <c r="R37" s="50">
        <f t="shared" si="12"/>
        <v>3</v>
      </c>
      <c r="S37" s="50">
        <f t="shared" si="12"/>
        <v>-8</v>
      </c>
      <c r="T37" s="50">
        <f t="shared" si="12"/>
        <v>7</v>
      </c>
      <c r="U37" s="50">
        <f t="shared" si="12"/>
        <v>1</v>
      </c>
      <c r="V37" s="50">
        <f t="shared" si="12"/>
        <v>8</v>
      </c>
      <c r="W37" s="50">
        <f t="shared" si="12"/>
        <v>-1</v>
      </c>
    </row>
    <row r="38" spans="1:23" x14ac:dyDescent="0.45">
      <c r="A38" s="21"/>
      <c r="B38" s="22" t="s">
        <v>1153</v>
      </c>
      <c r="C38" s="21"/>
      <c r="D38" s="21"/>
      <c r="E38" s="21"/>
      <c r="F38" s="21"/>
      <c r="G38" s="21"/>
      <c r="H38" s="21"/>
      <c r="I38" s="21"/>
      <c r="J38" s="21"/>
      <c r="K38" s="21"/>
      <c r="L38" s="21"/>
      <c r="M38" s="21"/>
      <c r="N38" s="21"/>
      <c r="O38" s="21"/>
      <c r="P38" s="21"/>
      <c r="Q38" s="21"/>
      <c r="R38" s="21"/>
      <c r="S38" s="21"/>
      <c r="T38" s="21"/>
      <c r="U38" s="21"/>
      <c r="V38" s="21"/>
      <c r="W38" s="21"/>
    </row>
    <row r="39" spans="1:23" x14ac:dyDescent="0.45">
      <c r="A39" s="12" t="s">
        <v>501</v>
      </c>
      <c r="B39" s="3" t="s">
        <v>502</v>
      </c>
      <c r="C39" s="12" t="s">
        <v>70</v>
      </c>
      <c r="E39" s="50">
        <f t="shared" ref="E39:N46" si="13">SUMIFS(Src_Val,Src_Key,$A39,Src_PK,E$10)-IF(E$11="",0,SUMIFS(Src_Val,Src_Key,$A39,Src_PK,E$11))</f>
        <v>5</v>
      </c>
      <c r="F39" s="50">
        <f t="shared" si="13"/>
        <v>6</v>
      </c>
      <c r="G39" s="50">
        <f t="shared" si="13"/>
        <v>6</v>
      </c>
      <c r="H39" s="50">
        <f t="shared" si="13"/>
        <v>6</v>
      </c>
      <c r="I39" s="50">
        <f t="shared" si="13"/>
        <v>6</v>
      </c>
      <c r="J39" s="50">
        <f t="shared" si="13"/>
        <v>6</v>
      </c>
      <c r="K39" s="50">
        <f t="shared" si="13"/>
        <v>8</v>
      </c>
      <c r="L39" s="50">
        <f t="shared" si="13"/>
        <v>8</v>
      </c>
      <c r="M39" s="50">
        <f t="shared" si="13"/>
        <v>10</v>
      </c>
      <c r="N39" s="50">
        <f t="shared" si="13"/>
        <v>11</v>
      </c>
      <c r="O39" s="50">
        <f t="shared" ref="O39:W46" si="14">SUMIFS(Src_Val,Src_Key,$A39,Src_PK,O$10)-IF(O$11="",0,SUMIFS(Src_Val,Src_Key,$A39,Src_PK,O$11))</f>
        <v>12</v>
      </c>
      <c r="P39" s="50">
        <f t="shared" si="14"/>
        <v>12</v>
      </c>
      <c r="Q39" s="50">
        <f t="shared" si="14"/>
        <v>11</v>
      </c>
      <c r="R39" s="50">
        <f t="shared" si="14"/>
        <v>19</v>
      </c>
      <c r="S39" s="50">
        <f t="shared" si="14"/>
        <v>16</v>
      </c>
      <c r="T39" s="50">
        <f t="shared" si="14"/>
        <v>13</v>
      </c>
      <c r="U39" s="50">
        <f t="shared" si="14"/>
        <v>16</v>
      </c>
      <c r="V39" s="50">
        <f t="shared" si="14"/>
        <v>10</v>
      </c>
      <c r="W39" s="50">
        <f t="shared" si="14"/>
        <v>12</v>
      </c>
    </row>
    <row r="40" spans="1:23" x14ac:dyDescent="0.45">
      <c r="A40" s="12" t="s">
        <v>503</v>
      </c>
      <c r="B40" s="3" t="s">
        <v>504</v>
      </c>
      <c r="C40" s="12" t="s">
        <v>70</v>
      </c>
      <c r="E40" s="50">
        <f t="shared" si="13"/>
        <v>45</v>
      </c>
      <c r="F40" s="50">
        <f t="shared" si="13"/>
        <v>53</v>
      </c>
      <c r="G40" s="50">
        <f t="shared" si="13"/>
        <v>57</v>
      </c>
      <c r="H40" s="50">
        <f t="shared" si="13"/>
        <v>57</v>
      </c>
      <c r="I40" s="50">
        <f t="shared" si="13"/>
        <v>61</v>
      </c>
      <c r="J40" s="50">
        <f t="shared" si="13"/>
        <v>63</v>
      </c>
      <c r="K40" s="50">
        <f t="shared" si="13"/>
        <v>72</v>
      </c>
      <c r="L40" s="50">
        <f t="shared" si="13"/>
        <v>71</v>
      </c>
      <c r="M40" s="50">
        <f t="shared" si="13"/>
        <v>71</v>
      </c>
      <c r="N40" s="50">
        <f t="shared" si="13"/>
        <v>66</v>
      </c>
      <c r="O40" s="50">
        <f t="shared" si="14"/>
        <v>67</v>
      </c>
      <c r="P40" s="50">
        <f t="shared" si="14"/>
        <v>60</v>
      </c>
      <c r="Q40" s="50">
        <f t="shared" si="14"/>
        <v>60</v>
      </c>
      <c r="R40" s="50">
        <f t="shared" si="14"/>
        <v>60</v>
      </c>
      <c r="S40" s="50">
        <f t="shared" si="14"/>
        <v>60</v>
      </c>
      <c r="T40" s="50">
        <f t="shared" si="14"/>
        <v>66</v>
      </c>
      <c r="U40" s="50">
        <f t="shared" si="14"/>
        <v>56</v>
      </c>
      <c r="V40" s="50">
        <f t="shared" si="14"/>
        <v>54</v>
      </c>
      <c r="W40" s="50">
        <f t="shared" si="14"/>
        <v>55</v>
      </c>
    </row>
    <row r="41" spans="1:23" x14ac:dyDescent="0.45">
      <c r="A41" s="12" t="s">
        <v>577</v>
      </c>
      <c r="B41" s="3" t="s">
        <v>578</v>
      </c>
      <c r="C41" s="12" t="s">
        <v>70</v>
      </c>
      <c r="E41" s="50">
        <f t="shared" si="13"/>
        <v>-31</v>
      </c>
      <c r="F41" s="50">
        <f t="shared" si="13"/>
        <v>-47</v>
      </c>
      <c r="G41" s="50">
        <f t="shared" si="13"/>
        <v>-21</v>
      </c>
      <c r="H41" s="50">
        <f t="shared" si="13"/>
        <v>-69</v>
      </c>
      <c r="I41" s="50">
        <f t="shared" si="13"/>
        <v>-19</v>
      </c>
      <c r="J41" s="50">
        <f t="shared" si="13"/>
        <v>-55</v>
      </c>
      <c r="K41" s="50">
        <f t="shared" si="13"/>
        <v>50</v>
      </c>
      <c r="L41" s="50">
        <f t="shared" si="13"/>
        <v>48</v>
      </c>
      <c r="M41" s="50">
        <f t="shared" si="13"/>
        <v>92</v>
      </c>
      <c r="N41" s="50">
        <f t="shared" si="13"/>
        <v>-20</v>
      </c>
      <c r="O41" s="50">
        <f t="shared" si="14"/>
        <v>124</v>
      </c>
      <c r="P41" s="50">
        <f t="shared" si="14"/>
        <v>109</v>
      </c>
      <c r="Q41" s="50">
        <f t="shared" si="14"/>
        <v>147</v>
      </c>
      <c r="R41" s="50">
        <f t="shared" si="14"/>
        <v>79</v>
      </c>
      <c r="S41" s="50">
        <f t="shared" si="14"/>
        <v>223</v>
      </c>
      <c r="T41" s="50">
        <f t="shared" si="14"/>
        <v>165</v>
      </c>
      <c r="U41" s="50">
        <f t="shared" si="14"/>
        <v>194</v>
      </c>
      <c r="V41" s="50">
        <f t="shared" si="14"/>
        <v>132</v>
      </c>
      <c r="W41" s="50">
        <f t="shared" si="14"/>
        <v>144</v>
      </c>
    </row>
    <row r="42" spans="1:23" x14ac:dyDescent="0.45">
      <c r="A42" s="12" t="s">
        <v>580</v>
      </c>
      <c r="B42" s="3" t="s">
        <v>1154</v>
      </c>
      <c r="C42" s="12" t="s">
        <v>70</v>
      </c>
      <c r="E42" s="50">
        <f t="shared" si="13"/>
        <v>3</v>
      </c>
      <c r="F42" s="50">
        <f t="shared" si="13"/>
        <v>3</v>
      </c>
      <c r="G42" s="50">
        <f t="shared" si="13"/>
        <v>9</v>
      </c>
      <c r="H42" s="50">
        <f t="shared" si="13"/>
        <v>11</v>
      </c>
      <c r="I42" s="50">
        <f t="shared" si="13"/>
        <v>10</v>
      </c>
      <c r="J42" s="50">
        <f t="shared" si="13"/>
        <v>10</v>
      </c>
      <c r="K42" s="50">
        <f t="shared" si="13"/>
        <v>11</v>
      </c>
      <c r="L42" s="50">
        <f t="shared" si="13"/>
        <v>10</v>
      </c>
      <c r="M42" s="50">
        <f t="shared" si="13"/>
        <v>11</v>
      </c>
      <c r="N42" s="50">
        <f t="shared" si="13"/>
        <v>13</v>
      </c>
      <c r="O42" s="50">
        <f t="shared" si="14"/>
        <v>16</v>
      </c>
      <c r="P42" s="50">
        <f t="shared" si="14"/>
        <v>12</v>
      </c>
      <c r="Q42" s="50">
        <f t="shared" si="14"/>
        <v>13</v>
      </c>
      <c r="R42" s="50">
        <f t="shared" si="14"/>
        <v>10</v>
      </c>
      <c r="S42" s="50">
        <f t="shared" si="14"/>
        <v>15</v>
      </c>
      <c r="T42" s="50">
        <f t="shared" si="14"/>
        <v>12</v>
      </c>
      <c r="U42" s="50">
        <f t="shared" si="14"/>
        <v>16</v>
      </c>
      <c r="V42" s="50">
        <f t="shared" si="14"/>
        <v>17</v>
      </c>
      <c r="W42" s="50">
        <f t="shared" si="14"/>
        <v>14</v>
      </c>
    </row>
    <row r="43" spans="1:23" x14ac:dyDescent="0.45">
      <c r="A43" s="12" t="s">
        <v>584</v>
      </c>
      <c r="B43" s="3" t="s">
        <v>585</v>
      </c>
      <c r="C43" s="12" t="s">
        <v>70</v>
      </c>
      <c r="E43" s="50">
        <f t="shared" si="13"/>
        <v>-461</v>
      </c>
      <c r="F43" s="50">
        <f t="shared" si="13"/>
        <v>-3</v>
      </c>
      <c r="G43" s="50">
        <f t="shared" si="13"/>
        <v>-39</v>
      </c>
      <c r="H43" s="50">
        <f t="shared" si="13"/>
        <v>17</v>
      </c>
      <c r="I43" s="50">
        <f t="shared" si="13"/>
        <v>-73</v>
      </c>
      <c r="J43" s="50">
        <f t="shared" si="13"/>
        <v>-42</v>
      </c>
      <c r="K43" s="50">
        <f t="shared" si="13"/>
        <v>-12</v>
      </c>
      <c r="L43" s="50">
        <f t="shared" si="13"/>
        <v>-31</v>
      </c>
      <c r="M43" s="50">
        <f t="shared" si="13"/>
        <v>-1</v>
      </c>
      <c r="N43" s="50">
        <f t="shared" si="13"/>
        <v>-29</v>
      </c>
      <c r="O43" s="50">
        <f t="shared" si="14"/>
        <v>-4</v>
      </c>
      <c r="P43" s="50">
        <f t="shared" si="14"/>
        <v>9</v>
      </c>
      <c r="Q43" s="50">
        <f t="shared" si="14"/>
        <v>-15</v>
      </c>
      <c r="R43" s="50">
        <f t="shared" si="14"/>
        <v>22</v>
      </c>
      <c r="S43" s="50">
        <f t="shared" si="14"/>
        <v>-38</v>
      </c>
      <c r="T43" s="50">
        <f t="shared" si="14"/>
        <v>-4</v>
      </c>
      <c r="U43" s="50">
        <f t="shared" si="14"/>
        <v>-152</v>
      </c>
      <c r="V43" s="50">
        <f t="shared" si="14"/>
        <v>-75</v>
      </c>
      <c r="W43" s="50">
        <f t="shared" si="14"/>
        <v>-67</v>
      </c>
    </row>
    <row r="44" spans="1:23" x14ac:dyDescent="0.45">
      <c r="A44" s="12" t="s">
        <v>1155</v>
      </c>
      <c r="B44" s="3" t="s">
        <v>1156</v>
      </c>
      <c r="C44" s="12" t="s">
        <v>70</v>
      </c>
      <c r="E44" s="50">
        <f t="shared" si="13"/>
        <v>0</v>
      </c>
      <c r="F44" s="50">
        <f t="shared" si="13"/>
        <v>0</v>
      </c>
      <c r="G44" s="50">
        <f t="shared" si="13"/>
        <v>0</v>
      </c>
      <c r="H44" s="50">
        <f t="shared" si="13"/>
        <v>0</v>
      </c>
      <c r="I44" s="50">
        <f t="shared" si="13"/>
        <v>0</v>
      </c>
      <c r="J44" s="50">
        <f t="shared" si="13"/>
        <v>0</v>
      </c>
      <c r="K44" s="50">
        <f t="shared" si="13"/>
        <v>0</v>
      </c>
      <c r="L44" s="50">
        <f t="shared" si="13"/>
        <v>0</v>
      </c>
      <c r="M44" s="50">
        <f t="shared" si="13"/>
        <v>0</v>
      </c>
      <c r="N44" s="50">
        <f t="shared" si="13"/>
        <v>4</v>
      </c>
      <c r="O44" s="50">
        <f t="shared" si="14"/>
        <v>32</v>
      </c>
      <c r="P44" s="50">
        <f t="shared" si="14"/>
        <v>20</v>
      </c>
      <c r="Q44" s="50">
        <f t="shared" si="14"/>
        <v>0</v>
      </c>
      <c r="R44" s="50">
        <f t="shared" si="14"/>
        <v>17</v>
      </c>
      <c r="S44" s="50">
        <f t="shared" si="14"/>
        <v>14</v>
      </c>
      <c r="T44" s="50">
        <f t="shared" si="14"/>
        <v>23</v>
      </c>
      <c r="U44" s="50">
        <f t="shared" si="14"/>
        <v>53</v>
      </c>
      <c r="V44" s="50">
        <f t="shared" si="14"/>
        <v>323</v>
      </c>
      <c r="W44" s="50">
        <f t="shared" si="14"/>
        <v>163</v>
      </c>
    </row>
    <row r="45" spans="1:23" x14ac:dyDescent="0.45">
      <c r="A45" s="12" t="s">
        <v>591</v>
      </c>
      <c r="B45" s="3" t="s">
        <v>592</v>
      </c>
      <c r="C45" s="12" t="s">
        <v>70</v>
      </c>
      <c r="E45" s="50">
        <f t="shared" si="13"/>
        <v>3</v>
      </c>
      <c r="F45" s="50">
        <f t="shared" si="13"/>
        <v>29</v>
      </c>
      <c r="G45" s="50">
        <f t="shared" si="13"/>
        <v>13</v>
      </c>
      <c r="H45" s="50">
        <f t="shared" si="13"/>
        <v>-6</v>
      </c>
      <c r="I45" s="50">
        <f t="shared" si="13"/>
        <v>2</v>
      </c>
      <c r="J45" s="50">
        <f t="shared" si="13"/>
        <v>48</v>
      </c>
      <c r="K45" s="50">
        <f t="shared" si="13"/>
        <v>-2</v>
      </c>
      <c r="L45" s="50">
        <f t="shared" si="13"/>
        <v>12</v>
      </c>
      <c r="M45" s="50">
        <f t="shared" si="13"/>
        <v>5</v>
      </c>
      <c r="N45" s="50">
        <f t="shared" si="13"/>
        <v>73</v>
      </c>
      <c r="O45" s="50">
        <f t="shared" si="14"/>
        <v>-26</v>
      </c>
      <c r="P45" s="50">
        <f t="shared" si="14"/>
        <v>-40</v>
      </c>
      <c r="Q45" s="50">
        <f t="shared" si="14"/>
        <v>11</v>
      </c>
      <c r="R45" s="50">
        <f t="shared" si="14"/>
        <v>73</v>
      </c>
      <c r="S45" s="50">
        <f t="shared" si="14"/>
        <v>-22</v>
      </c>
      <c r="T45" s="50">
        <f t="shared" si="14"/>
        <v>19</v>
      </c>
      <c r="U45" s="50">
        <f t="shared" si="14"/>
        <v>-63</v>
      </c>
      <c r="V45" s="50">
        <f t="shared" si="14"/>
        <v>-227</v>
      </c>
      <c r="W45" s="50">
        <f t="shared" si="14"/>
        <v>-185</v>
      </c>
    </row>
    <row r="46" spans="1:23" x14ac:dyDescent="0.45">
      <c r="A46" s="12" t="s">
        <v>593</v>
      </c>
      <c r="B46" s="3" t="s">
        <v>1157</v>
      </c>
      <c r="C46" s="12" t="s">
        <v>70</v>
      </c>
      <c r="E46" s="50">
        <f t="shared" si="13"/>
        <v>-1</v>
      </c>
      <c r="F46" s="50">
        <f t="shared" si="13"/>
        <v>0</v>
      </c>
      <c r="G46" s="50">
        <f t="shared" si="13"/>
        <v>0</v>
      </c>
      <c r="H46" s="50">
        <f t="shared" si="13"/>
        <v>-1</v>
      </c>
      <c r="I46" s="50">
        <f t="shared" si="13"/>
        <v>1</v>
      </c>
      <c r="J46" s="50">
        <f t="shared" si="13"/>
        <v>0</v>
      </c>
      <c r="K46" s="50">
        <f t="shared" si="13"/>
        <v>0</v>
      </c>
      <c r="L46" s="50">
        <f t="shared" si="13"/>
        <v>-1</v>
      </c>
      <c r="M46" s="50">
        <f t="shared" si="13"/>
        <v>1</v>
      </c>
      <c r="N46" s="50">
        <f t="shared" si="13"/>
        <v>0</v>
      </c>
      <c r="O46" s="50">
        <f t="shared" si="14"/>
        <v>-1</v>
      </c>
      <c r="P46" s="50">
        <f t="shared" si="14"/>
        <v>2</v>
      </c>
      <c r="Q46" s="50">
        <f t="shared" si="14"/>
        <v>-2</v>
      </c>
      <c r="R46" s="50">
        <f t="shared" si="14"/>
        <v>0</v>
      </c>
      <c r="S46" s="50">
        <f t="shared" si="14"/>
        <v>3</v>
      </c>
      <c r="T46" s="50">
        <f t="shared" si="14"/>
        <v>0</v>
      </c>
      <c r="U46" s="50">
        <f t="shared" si="14"/>
        <v>-1</v>
      </c>
      <c r="V46" s="50">
        <f t="shared" si="14"/>
        <v>0</v>
      </c>
      <c r="W46" s="50">
        <f t="shared" si="14"/>
        <v>-1</v>
      </c>
    </row>
    <row r="47" spans="1:23" x14ac:dyDescent="0.45">
      <c r="A47" s="21"/>
      <c r="B47" s="22" t="s">
        <v>1158</v>
      </c>
      <c r="C47" s="21"/>
      <c r="D47" s="21"/>
      <c r="E47" s="21"/>
      <c r="F47" s="21"/>
      <c r="G47" s="21"/>
      <c r="H47" s="21"/>
      <c r="I47" s="21"/>
      <c r="J47" s="21"/>
      <c r="K47" s="21"/>
      <c r="L47" s="21"/>
      <c r="M47" s="21"/>
      <c r="N47" s="21"/>
      <c r="O47" s="21"/>
      <c r="P47" s="21"/>
      <c r="Q47" s="21"/>
      <c r="R47" s="21"/>
      <c r="S47" s="21"/>
      <c r="T47" s="21"/>
      <c r="U47" s="21"/>
      <c r="V47" s="21"/>
      <c r="W47" s="21"/>
    </row>
    <row r="48" spans="1:23" x14ac:dyDescent="0.45">
      <c r="A48" s="12" t="s">
        <v>1159</v>
      </c>
      <c r="B48" s="3" t="s">
        <v>1160</v>
      </c>
      <c r="C48" s="12" t="s">
        <v>70</v>
      </c>
      <c r="E48" s="50">
        <f t="shared" ref="E48:N57" si="15">SUMIFS(Src_Val,Src_Key,$A48,Src_PK,E$14)</f>
        <v>851</v>
      </c>
      <c r="F48" s="50">
        <f t="shared" si="15"/>
        <v>830</v>
      </c>
      <c r="G48" s="50">
        <f t="shared" si="15"/>
        <v>783</v>
      </c>
      <c r="H48" s="50">
        <f t="shared" si="15"/>
        <v>724</v>
      </c>
      <c r="I48" s="50">
        <f t="shared" si="15"/>
        <v>635</v>
      </c>
      <c r="J48" s="50">
        <f t="shared" si="15"/>
        <v>586</v>
      </c>
      <c r="K48" s="50">
        <f t="shared" si="15"/>
        <v>622</v>
      </c>
      <c r="L48" s="50">
        <f t="shared" si="15"/>
        <v>650</v>
      </c>
      <c r="M48" s="50">
        <f t="shared" si="15"/>
        <v>747</v>
      </c>
      <c r="N48" s="50">
        <f t="shared" si="15"/>
        <v>771</v>
      </c>
      <c r="O48" s="50">
        <f t="shared" ref="O48:W57" si="16">SUMIFS(Src_Val,Src_Key,$A48,Src_PK,O$14)</f>
        <v>864</v>
      </c>
      <c r="P48" s="50">
        <f t="shared" si="16"/>
        <v>944</v>
      </c>
      <c r="Q48" s="50">
        <f t="shared" si="16"/>
        <v>1085</v>
      </c>
      <c r="R48" s="50">
        <f t="shared" si="16"/>
        <v>1259</v>
      </c>
      <c r="S48" s="50">
        <f t="shared" si="16"/>
        <v>1425</v>
      </c>
      <c r="T48" s="50">
        <f t="shared" si="16"/>
        <v>1605</v>
      </c>
      <c r="U48" s="50">
        <f t="shared" si="16"/>
        <v>1583</v>
      </c>
      <c r="V48" s="50">
        <f t="shared" si="16"/>
        <v>1413</v>
      </c>
      <c r="W48" s="50">
        <f t="shared" si="16"/>
        <v>1304</v>
      </c>
    </row>
    <row r="49" spans="1:23" x14ac:dyDescent="0.45">
      <c r="A49" s="12" t="s">
        <v>521</v>
      </c>
      <c r="B49" s="3" t="s">
        <v>522</v>
      </c>
      <c r="C49" s="12" t="s">
        <v>70</v>
      </c>
      <c r="E49" s="50">
        <f t="shared" si="15"/>
        <v>809</v>
      </c>
      <c r="F49" s="50">
        <f t="shared" si="15"/>
        <v>757</v>
      </c>
      <c r="G49" s="50">
        <f t="shared" si="15"/>
        <v>697</v>
      </c>
      <c r="H49" s="50">
        <f t="shared" si="15"/>
        <v>644</v>
      </c>
      <c r="I49" s="50">
        <f t="shared" si="15"/>
        <v>547</v>
      </c>
      <c r="J49" s="50">
        <f t="shared" si="15"/>
        <v>451</v>
      </c>
      <c r="K49" s="50">
        <f t="shared" si="15"/>
        <v>488</v>
      </c>
      <c r="L49" s="50">
        <f t="shared" si="15"/>
        <v>514</v>
      </c>
      <c r="M49" s="50">
        <f t="shared" si="15"/>
        <v>605</v>
      </c>
      <c r="N49" s="50">
        <f t="shared" si="15"/>
        <v>578</v>
      </c>
      <c r="O49" s="50">
        <f t="shared" si="16"/>
        <v>691</v>
      </c>
      <c r="P49" s="50">
        <f t="shared" si="16"/>
        <v>761</v>
      </c>
      <c r="Q49" s="50">
        <f t="shared" si="16"/>
        <v>903</v>
      </c>
      <c r="R49" s="50">
        <f t="shared" si="16"/>
        <v>1005</v>
      </c>
      <c r="S49" s="50">
        <f t="shared" si="16"/>
        <v>1194</v>
      </c>
      <c r="T49" s="50">
        <f t="shared" si="16"/>
        <v>1357</v>
      </c>
      <c r="U49" s="50">
        <f t="shared" si="16"/>
        <v>1353</v>
      </c>
      <c r="V49" s="50">
        <f t="shared" si="16"/>
        <v>1098</v>
      </c>
      <c r="W49" s="50">
        <f t="shared" si="16"/>
        <v>1015</v>
      </c>
    </row>
    <row r="50" spans="1:23" x14ac:dyDescent="0.45">
      <c r="A50" s="12" t="s">
        <v>1161</v>
      </c>
      <c r="B50" s="3" t="s">
        <v>524</v>
      </c>
      <c r="C50" s="12" t="s">
        <v>70</v>
      </c>
      <c r="E50" s="50">
        <f t="shared" si="15"/>
        <v>457</v>
      </c>
      <c r="F50" s="50">
        <f t="shared" si="15"/>
        <v>453</v>
      </c>
      <c r="G50" s="50">
        <f t="shared" si="15"/>
        <v>482</v>
      </c>
      <c r="H50" s="50">
        <f t="shared" si="15"/>
        <v>409</v>
      </c>
      <c r="I50" s="50">
        <f t="shared" si="15"/>
        <v>474</v>
      </c>
      <c r="J50" s="50">
        <f t="shared" si="15"/>
        <v>499</v>
      </c>
      <c r="K50" s="50">
        <f t="shared" si="15"/>
        <v>502</v>
      </c>
      <c r="L50" s="50">
        <f t="shared" si="15"/>
        <v>516</v>
      </c>
      <c r="M50" s="50">
        <f t="shared" si="15"/>
        <v>519</v>
      </c>
      <c r="N50" s="50">
        <f t="shared" si="15"/>
        <v>537</v>
      </c>
      <c r="O50" s="50">
        <f t="shared" si="16"/>
        <v>528</v>
      </c>
      <c r="P50" s="50">
        <f t="shared" si="16"/>
        <v>511</v>
      </c>
      <c r="Q50" s="50">
        <f t="shared" si="16"/>
        <v>514</v>
      </c>
      <c r="R50" s="50">
        <f t="shared" si="16"/>
        <v>484</v>
      </c>
      <c r="S50" s="50">
        <f t="shared" si="16"/>
        <v>508</v>
      </c>
      <c r="T50" s="50">
        <f t="shared" si="16"/>
        <v>500</v>
      </c>
      <c r="U50" s="50">
        <f t="shared" si="16"/>
        <v>638</v>
      </c>
      <c r="V50" s="50">
        <f t="shared" si="16"/>
        <v>672</v>
      </c>
      <c r="W50" s="50">
        <f t="shared" si="16"/>
        <v>698</v>
      </c>
    </row>
    <row r="51" spans="1:23" x14ac:dyDescent="0.45">
      <c r="A51" s="12" t="s">
        <v>525</v>
      </c>
      <c r="B51" s="3" t="s">
        <v>526</v>
      </c>
      <c r="C51" s="12" t="s">
        <v>70</v>
      </c>
      <c r="E51" s="50">
        <f t="shared" si="15"/>
        <v>55</v>
      </c>
      <c r="F51" s="50">
        <f t="shared" si="15"/>
        <v>56</v>
      </c>
      <c r="G51" s="50">
        <f t="shared" si="15"/>
        <v>68</v>
      </c>
      <c r="H51" s="50">
        <f t="shared" si="15"/>
        <v>78</v>
      </c>
      <c r="I51" s="50">
        <f t="shared" si="15"/>
        <v>77</v>
      </c>
      <c r="J51" s="50">
        <f t="shared" si="15"/>
        <v>97</v>
      </c>
      <c r="K51" s="50">
        <f t="shared" si="15"/>
        <v>115</v>
      </c>
      <c r="L51" s="50">
        <f t="shared" si="15"/>
        <v>95</v>
      </c>
      <c r="M51" s="50">
        <f t="shared" si="15"/>
        <v>69</v>
      </c>
      <c r="N51" s="50">
        <f t="shared" si="15"/>
        <v>86</v>
      </c>
      <c r="O51" s="50">
        <f t="shared" si="16"/>
        <v>101</v>
      </c>
      <c r="P51" s="50">
        <f t="shared" si="16"/>
        <v>105</v>
      </c>
      <c r="Q51" s="50">
        <f t="shared" si="16"/>
        <v>115</v>
      </c>
      <c r="R51" s="50">
        <f t="shared" si="16"/>
        <v>118</v>
      </c>
      <c r="S51" s="50">
        <f t="shared" si="16"/>
        <v>121</v>
      </c>
      <c r="T51" s="50">
        <f t="shared" si="16"/>
        <v>121</v>
      </c>
      <c r="U51" s="50">
        <f t="shared" si="16"/>
        <v>127</v>
      </c>
      <c r="V51" s="50">
        <f t="shared" si="16"/>
        <v>138</v>
      </c>
      <c r="W51" s="50">
        <f t="shared" si="16"/>
        <v>142</v>
      </c>
    </row>
    <row r="52" spans="1:23" x14ac:dyDescent="0.45">
      <c r="A52" s="12" t="s">
        <v>527</v>
      </c>
      <c r="B52" s="3" t="s">
        <v>528</v>
      </c>
      <c r="C52" s="12" t="s">
        <v>70</v>
      </c>
      <c r="E52" s="50">
        <f t="shared" si="15"/>
        <v>42</v>
      </c>
      <c r="F52" s="50">
        <f t="shared" si="15"/>
        <v>44</v>
      </c>
      <c r="G52" s="50">
        <f t="shared" si="15"/>
        <v>62</v>
      </c>
      <c r="H52" s="50">
        <f t="shared" si="15"/>
        <v>95</v>
      </c>
      <c r="I52" s="50">
        <f t="shared" si="15"/>
        <v>110</v>
      </c>
      <c r="J52" s="50">
        <f t="shared" si="15"/>
        <v>112</v>
      </c>
      <c r="K52" s="50">
        <f t="shared" si="15"/>
        <v>107</v>
      </c>
      <c r="L52" s="50">
        <f t="shared" si="15"/>
        <v>98</v>
      </c>
      <c r="M52" s="50">
        <f t="shared" si="15"/>
        <v>118</v>
      </c>
      <c r="N52" s="50">
        <f t="shared" si="15"/>
        <v>120</v>
      </c>
      <c r="O52" s="50">
        <f t="shared" si="16"/>
        <v>110</v>
      </c>
      <c r="P52" s="50">
        <f t="shared" si="16"/>
        <v>106</v>
      </c>
      <c r="Q52" s="50">
        <f t="shared" si="16"/>
        <v>118</v>
      </c>
      <c r="R52" s="50">
        <f t="shared" si="16"/>
        <v>111</v>
      </c>
      <c r="S52" s="50">
        <f t="shared" si="16"/>
        <v>103</v>
      </c>
      <c r="T52" s="50">
        <f t="shared" si="16"/>
        <v>104</v>
      </c>
      <c r="U52" s="50">
        <f t="shared" si="16"/>
        <v>114</v>
      </c>
      <c r="V52" s="50">
        <f t="shared" si="16"/>
        <v>136</v>
      </c>
      <c r="W52" s="50">
        <f t="shared" si="16"/>
        <v>217</v>
      </c>
    </row>
    <row r="53" spans="1:23" x14ac:dyDescent="0.45">
      <c r="A53" s="12" t="s">
        <v>529</v>
      </c>
      <c r="B53" s="3" t="s">
        <v>1162</v>
      </c>
      <c r="C53" s="12" t="s">
        <v>70</v>
      </c>
      <c r="E53" s="50">
        <f t="shared" si="15"/>
        <v>34</v>
      </c>
      <c r="F53" s="50">
        <f t="shared" si="15"/>
        <v>62</v>
      </c>
      <c r="G53" s="50">
        <f t="shared" si="15"/>
        <v>72</v>
      </c>
      <c r="H53" s="50">
        <f t="shared" si="15"/>
        <v>61</v>
      </c>
      <c r="I53" s="50">
        <f t="shared" si="15"/>
        <v>60</v>
      </c>
      <c r="J53" s="50">
        <f t="shared" si="15"/>
        <v>99</v>
      </c>
      <c r="K53" s="50">
        <f t="shared" si="15"/>
        <v>91</v>
      </c>
      <c r="L53" s="50">
        <f t="shared" si="15"/>
        <v>87</v>
      </c>
      <c r="M53" s="50">
        <f t="shared" si="15"/>
        <v>87</v>
      </c>
      <c r="N53" s="50">
        <f t="shared" si="15"/>
        <v>136</v>
      </c>
      <c r="O53" s="50">
        <f t="shared" si="16"/>
        <v>115</v>
      </c>
      <c r="P53" s="50">
        <f t="shared" si="16"/>
        <v>127</v>
      </c>
      <c r="Q53" s="50">
        <f t="shared" si="16"/>
        <v>123</v>
      </c>
      <c r="R53" s="50">
        <f t="shared" si="16"/>
        <v>187</v>
      </c>
      <c r="S53" s="50">
        <f t="shared" si="16"/>
        <v>168</v>
      </c>
      <c r="T53" s="50">
        <f t="shared" si="16"/>
        <v>172</v>
      </c>
      <c r="U53" s="50">
        <f t="shared" si="16"/>
        <v>159</v>
      </c>
      <c r="V53" s="50">
        <f t="shared" si="16"/>
        <v>241</v>
      </c>
      <c r="W53" s="50">
        <f t="shared" si="16"/>
        <v>216</v>
      </c>
    </row>
    <row r="54" spans="1:23" x14ac:dyDescent="0.45">
      <c r="A54" s="12" t="s">
        <v>1163</v>
      </c>
      <c r="B54" s="3" t="s">
        <v>534</v>
      </c>
      <c r="C54" s="12" t="s">
        <v>70</v>
      </c>
      <c r="E54" s="50">
        <f t="shared" si="15"/>
        <v>1485</v>
      </c>
      <c r="F54" s="50">
        <f t="shared" si="15"/>
        <v>1477</v>
      </c>
      <c r="G54" s="50">
        <f t="shared" si="15"/>
        <v>1486</v>
      </c>
      <c r="H54" s="50">
        <f t="shared" si="15"/>
        <v>1402</v>
      </c>
      <c r="I54" s="50">
        <f t="shared" si="15"/>
        <v>1407</v>
      </c>
      <c r="J54" s="50">
        <f t="shared" si="15"/>
        <v>1408</v>
      </c>
      <c r="K54" s="50">
        <f t="shared" si="15"/>
        <v>1455</v>
      </c>
      <c r="L54" s="50">
        <f t="shared" si="15"/>
        <v>1480</v>
      </c>
      <c r="M54" s="50">
        <f t="shared" si="15"/>
        <v>1570</v>
      </c>
      <c r="N54" s="50">
        <f t="shared" si="15"/>
        <v>1651</v>
      </c>
      <c r="O54" s="50">
        <f t="shared" si="16"/>
        <v>1739</v>
      </c>
      <c r="P54" s="50">
        <f t="shared" si="16"/>
        <v>1802</v>
      </c>
      <c r="Q54" s="50">
        <f t="shared" si="16"/>
        <v>1975</v>
      </c>
      <c r="R54" s="50">
        <f t="shared" si="16"/>
        <v>2122</v>
      </c>
      <c r="S54" s="50">
        <f t="shared" si="16"/>
        <v>2317</v>
      </c>
      <c r="T54" s="50">
        <f t="shared" si="16"/>
        <v>2495</v>
      </c>
      <c r="U54" s="50">
        <f t="shared" si="16"/>
        <v>2669</v>
      </c>
      <c r="V54" s="50">
        <f t="shared" si="16"/>
        <v>2592</v>
      </c>
      <c r="W54" s="50">
        <f t="shared" si="16"/>
        <v>2650</v>
      </c>
    </row>
    <row r="55" spans="1:23" x14ac:dyDescent="0.45">
      <c r="A55" s="12" t="s">
        <v>535</v>
      </c>
      <c r="B55" s="3" t="s">
        <v>536</v>
      </c>
      <c r="C55" s="12" t="s">
        <v>70</v>
      </c>
      <c r="E55" s="50">
        <f t="shared" si="15"/>
        <v>41</v>
      </c>
      <c r="F55" s="50">
        <f t="shared" si="15"/>
        <v>42</v>
      </c>
      <c r="G55" s="50">
        <f t="shared" si="15"/>
        <v>45</v>
      </c>
      <c r="H55" s="50">
        <f t="shared" si="15"/>
        <v>54</v>
      </c>
      <c r="I55" s="50">
        <f t="shared" si="15"/>
        <v>61</v>
      </c>
      <c r="J55" s="50">
        <f t="shared" si="15"/>
        <v>70</v>
      </c>
      <c r="K55" s="50">
        <f t="shared" si="15"/>
        <v>61</v>
      </c>
      <c r="L55" s="50">
        <f t="shared" si="15"/>
        <v>69</v>
      </c>
      <c r="M55" s="50">
        <f t="shared" si="15"/>
        <v>75</v>
      </c>
      <c r="N55" s="50">
        <f t="shared" si="15"/>
        <v>82</v>
      </c>
      <c r="O55" s="50">
        <f t="shared" si="16"/>
        <v>90</v>
      </c>
      <c r="P55" s="50">
        <f t="shared" si="16"/>
        <v>95</v>
      </c>
      <c r="Q55" s="50">
        <f t="shared" si="16"/>
        <v>98</v>
      </c>
      <c r="R55" s="50">
        <f t="shared" si="16"/>
        <v>93</v>
      </c>
      <c r="S55" s="50">
        <f t="shared" si="16"/>
        <v>96</v>
      </c>
      <c r="T55" s="50">
        <f t="shared" si="16"/>
        <v>100</v>
      </c>
      <c r="U55" s="50">
        <f t="shared" si="16"/>
        <v>132</v>
      </c>
      <c r="V55" s="50">
        <f t="shared" si="16"/>
        <v>114</v>
      </c>
      <c r="W55" s="50">
        <f t="shared" si="16"/>
        <v>149</v>
      </c>
    </row>
    <row r="56" spans="1:23" x14ac:dyDescent="0.45">
      <c r="A56" s="12" t="s">
        <v>1164</v>
      </c>
      <c r="B56" s="3" t="s">
        <v>1165</v>
      </c>
      <c r="C56" s="12" t="s">
        <v>70</v>
      </c>
      <c r="E56" s="50">
        <f t="shared" si="15"/>
        <v>16</v>
      </c>
      <c r="F56" s="50">
        <f t="shared" si="15"/>
        <v>15</v>
      </c>
      <c r="G56" s="50">
        <f t="shared" si="15"/>
        <v>13</v>
      </c>
      <c r="H56" s="50">
        <f t="shared" si="15"/>
        <v>31</v>
      </c>
      <c r="I56" s="50">
        <f t="shared" si="15"/>
        <v>29</v>
      </c>
      <c r="J56" s="50">
        <f t="shared" si="15"/>
        <v>31</v>
      </c>
      <c r="K56" s="50">
        <f t="shared" si="15"/>
        <v>30</v>
      </c>
      <c r="L56" s="50">
        <f t="shared" si="15"/>
        <v>28</v>
      </c>
      <c r="M56" s="50">
        <f t="shared" si="15"/>
        <v>26</v>
      </c>
      <c r="N56" s="50">
        <f t="shared" si="15"/>
        <v>25</v>
      </c>
      <c r="O56" s="50">
        <f t="shared" si="16"/>
        <v>23</v>
      </c>
      <c r="P56" s="50">
        <f t="shared" si="16"/>
        <v>22</v>
      </c>
      <c r="Q56" s="50">
        <f t="shared" si="16"/>
        <v>20</v>
      </c>
      <c r="R56" s="50">
        <f t="shared" si="16"/>
        <v>19</v>
      </c>
      <c r="S56" s="50">
        <f t="shared" si="16"/>
        <v>17</v>
      </c>
      <c r="T56" s="50">
        <f t="shared" si="16"/>
        <v>16</v>
      </c>
      <c r="U56" s="50">
        <f t="shared" si="16"/>
        <v>14</v>
      </c>
      <c r="V56" s="50">
        <f t="shared" si="16"/>
        <v>13</v>
      </c>
      <c r="W56" s="50">
        <f t="shared" si="16"/>
        <v>11</v>
      </c>
    </row>
    <row r="57" spans="1:23" x14ac:dyDescent="0.45">
      <c r="A57" s="12" t="s">
        <v>1166</v>
      </c>
      <c r="B57" s="3" t="s">
        <v>1167</v>
      </c>
      <c r="C57" s="12" t="s">
        <v>70</v>
      </c>
      <c r="E57" s="50">
        <f t="shared" si="15"/>
        <v>74</v>
      </c>
      <c r="F57" s="50">
        <f t="shared" si="15"/>
        <v>74</v>
      </c>
      <c r="G57" s="50">
        <f t="shared" si="15"/>
        <v>74</v>
      </c>
      <c r="H57" s="50">
        <f t="shared" si="15"/>
        <v>107</v>
      </c>
      <c r="I57" s="50">
        <f t="shared" si="15"/>
        <v>107</v>
      </c>
      <c r="J57" s="50">
        <f t="shared" si="15"/>
        <v>113</v>
      </c>
      <c r="K57" s="50">
        <f t="shared" si="15"/>
        <v>113</v>
      </c>
      <c r="L57" s="50">
        <f t="shared" si="15"/>
        <v>113</v>
      </c>
      <c r="M57" s="50">
        <f t="shared" si="15"/>
        <v>113</v>
      </c>
      <c r="N57" s="50">
        <f t="shared" si="15"/>
        <v>113</v>
      </c>
      <c r="O57" s="50">
        <f t="shared" si="16"/>
        <v>113</v>
      </c>
      <c r="P57" s="50">
        <f t="shared" si="16"/>
        <v>113</v>
      </c>
      <c r="Q57" s="50">
        <f t="shared" si="16"/>
        <v>113</v>
      </c>
      <c r="R57" s="50">
        <f t="shared" si="16"/>
        <v>113</v>
      </c>
      <c r="S57" s="50">
        <f t="shared" si="16"/>
        <v>113</v>
      </c>
      <c r="T57" s="50">
        <f t="shared" si="16"/>
        <v>113</v>
      </c>
      <c r="U57" s="50">
        <f t="shared" si="16"/>
        <v>113</v>
      </c>
      <c r="V57" s="50">
        <f t="shared" si="16"/>
        <v>113</v>
      </c>
      <c r="W57" s="50">
        <f t="shared" si="16"/>
        <v>113</v>
      </c>
    </row>
    <row r="58" spans="1:23" x14ac:dyDescent="0.45">
      <c r="A58" s="12" t="s">
        <v>539</v>
      </c>
      <c r="B58" s="3" t="s">
        <v>1168</v>
      </c>
      <c r="C58" s="12" t="s">
        <v>70</v>
      </c>
      <c r="E58" s="50">
        <f t="shared" ref="E58:N67" si="17">SUMIFS(Src_Val,Src_Key,$A58,Src_PK,E$14)</f>
        <v>8</v>
      </c>
      <c r="F58" s="50">
        <f t="shared" si="17"/>
        <v>11</v>
      </c>
      <c r="G58" s="50">
        <f t="shared" si="17"/>
        <v>14</v>
      </c>
      <c r="H58" s="50">
        <f t="shared" si="17"/>
        <v>19</v>
      </c>
      <c r="I58" s="50">
        <f t="shared" si="17"/>
        <v>28</v>
      </c>
      <c r="J58" s="50">
        <f t="shared" si="17"/>
        <v>36</v>
      </c>
      <c r="K58" s="50">
        <f t="shared" si="17"/>
        <v>43</v>
      </c>
      <c r="L58" s="50">
        <f t="shared" si="17"/>
        <v>49</v>
      </c>
      <c r="M58" s="50">
        <f t="shared" si="17"/>
        <v>55</v>
      </c>
      <c r="N58" s="50">
        <f t="shared" si="17"/>
        <v>57</v>
      </c>
      <c r="O58" s="50">
        <f t="shared" ref="O58:W67" si="18">SUMIFS(Src_Val,Src_Key,$A58,Src_PK,O$14)</f>
        <v>58</v>
      </c>
      <c r="P58" s="50">
        <f t="shared" si="18"/>
        <v>56</v>
      </c>
      <c r="Q58" s="50">
        <f t="shared" si="18"/>
        <v>59</v>
      </c>
      <c r="R58" s="50">
        <f t="shared" si="18"/>
        <v>67</v>
      </c>
      <c r="S58" s="50">
        <f t="shared" si="18"/>
        <v>63</v>
      </c>
      <c r="T58" s="50">
        <f t="shared" si="18"/>
        <v>76</v>
      </c>
      <c r="U58" s="50">
        <f t="shared" si="18"/>
        <v>71</v>
      </c>
      <c r="V58" s="50">
        <f t="shared" si="18"/>
        <v>74</v>
      </c>
      <c r="W58" s="50">
        <f t="shared" si="18"/>
        <v>73</v>
      </c>
    </row>
    <row r="59" spans="1:23" x14ac:dyDescent="0.45">
      <c r="A59" s="12" t="s">
        <v>1169</v>
      </c>
      <c r="B59" s="3" t="s">
        <v>1170</v>
      </c>
      <c r="C59" s="12" t="s">
        <v>70</v>
      </c>
      <c r="E59" s="50">
        <f t="shared" si="17"/>
        <v>250</v>
      </c>
      <c r="F59" s="50">
        <f t="shared" si="17"/>
        <v>257</v>
      </c>
      <c r="G59" s="50">
        <f t="shared" si="17"/>
        <v>264</v>
      </c>
      <c r="H59" s="50">
        <f t="shared" si="17"/>
        <v>339</v>
      </c>
      <c r="I59" s="50">
        <f t="shared" si="17"/>
        <v>354</v>
      </c>
      <c r="J59" s="50">
        <f t="shared" si="17"/>
        <v>387</v>
      </c>
      <c r="K59" s="50">
        <f t="shared" si="17"/>
        <v>340</v>
      </c>
      <c r="L59" s="50">
        <f t="shared" si="17"/>
        <v>354</v>
      </c>
      <c r="M59" s="50">
        <f t="shared" si="17"/>
        <v>388</v>
      </c>
      <c r="N59" s="50">
        <f t="shared" si="17"/>
        <v>401</v>
      </c>
      <c r="O59" s="50">
        <f t="shared" si="18"/>
        <v>416</v>
      </c>
      <c r="P59" s="50">
        <f t="shared" si="18"/>
        <v>425</v>
      </c>
      <c r="Q59" s="50">
        <f t="shared" si="18"/>
        <v>433</v>
      </c>
      <c r="R59" s="50">
        <f t="shared" si="18"/>
        <v>442</v>
      </c>
      <c r="S59" s="50">
        <f t="shared" si="18"/>
        <v>450</v>
      </c>
      <c r="T59" s="50">
        <f t="shared" si="18"/>
        <v>476</v>
      </c>
      <c r="U59" s="50">
        <f t="shared" si="18"/>
        <v>476</v>
      </c>
      <c r="V59" s="50">
        <f t="shared" si="18"/>
        <v>502</v>
      </c>
      <c r="W59" s="50">
        <f t="shared" si="18"/>
        <v>531</v>
      </c>
    </row>
    <row r="60" spans="1:23" x14ac:dyDescent="0.45">
      <c r="A60" s="12" t="s">
        <v>1171</v>
      </c>
      <c r="B60" s="3" t="s">
        <v>544</v>
      </c>
      <c r="C60" s="12" t="s">
        <v>70</v>
      </c>
      <c r="E60" s="50">
        <f t="shared" si="17"/>
        <v>1735</v>
      </c>
      <c r="F60" s="50">
        <f t="shared" si="17"/>
        <v>1734</v>
      </c>
      <c r="G60" s="50">
        <f t="shared" si="17"/>
        <v>1750</v>
      </c>
      <c r="H60" s="50">
        <f t="shared" si="17"/>
        <v>1741</v>
      </c>
      <c r="I60" s="50">
        <f t="shared" si="17"/>
        <v>1761</v>
      </c>
      <c r="J60" s="50">
        <f t="shared" si="17"/>
        <v>1795</v>
      </c>
      <c r="K60" s="50">
        <f t="shared" si="17"/>
        <v>1795</v>
      </c>
      <c r="L60" s="50">
        <f t="shared" si="17"/>
        <v>1834</v>
      </c>
      <c r="M60" s="50">
        <f t="shared" si="17"/>
        <v>1958</v>
      </c>
      <c r="N60" s="50">
        <f t="shared" si="17"/>
        <v>2052</v>
      </c>
      <c r="O60" s="50">
        <f t="shared" si="18"/>
        <v>2155</v>
      </c>
      <c r="P60" s="50">
        <f t="shared" si="18"/>
        <v>2227</v>
      </c>
      <c r="Q60" s="50">
        <f t="shared" si="18"/>
        <v>2408</v>
      </c>
      <c r="R60" s="50">
        <f t="shared" si="18"/>
        <v>2564</v>
      </c>
      <c r="S60" s="50">
        <f t="shared" si="18"/>
        <v>2767</v>
      </c>
      <c r="T60" s="50">
        <f t="shared" si="18"/>
        <v>2971</v>
      </c>
      <c r="U60" s="50">
        <f t="shared" si="18"/>
        <v>3145</v>
      </c>
      <c r="V60" s="50">
        <f t="shared" si="18"/>
        <v>3094</v>
      </c>
      <c r="W60" s="50">
        <f t="shared" si="18"/>
        <v>3181</v>
      </c>
    </row>
    <row r="61" spans="1:23" x14ac:dyDescent="0.45">
      <c r="A61" s="12" t="s">
        <v>546</v>
      </c>
      <c r="B61" s="3" t="s">
        <v>547</v>
      </c>
      <c r="C61" s="12" t="s">
        <v>70</v>
      </c>
      <c r="E61" s="50">
        <f t="shared" si="17"/>
        <v>40</v>
      </c>
      <c r="F61" s="50">
        <f t="shared" si="17"/>
        <v>29</v>
      </c>
      <c r="G61" s="50">
        <f t="shared" si="17"/>
        <v>37</v>
      </c>
      <c r="H61" s="50">
        <f t="shared" si="17"/>
        <v>28</v>
      </c>
      <c r="I61" s="50">
        <f t="shared" si="17"/>
        <v>30</v>
      </c>
      <c r="J61" s="50">
        <f t="shared" si="17"/>
        <v>36</v>
      </c>
      <c r="K61" s="50">
        <f t="shared" si="17"/>
        <v>42</v>
      </c>
      <c r="L61" s="50">
        <f t="shared" si="17"/>
        <v>27</v>
      </c>
      <c r="M61" s="50">
        <f t="shared" si="17"/>
        <v>32</v>
      </c>
      <c r="N61" s="50">
        <f t="shared" si="17"/>
        <v>49</v>
      </c>
      <c r="O61" s="50">
        <f t="shared" si="18"/>
        <v>33</v>
      </c>
      <c r="P61" s="50">
        <f t="shared" si="18"/>
        <v>30</v>
      </c>
      <c r="Q61" s="50">
        <f t="shared" si="18"/>
        <v>37</v>
      </c>
      <c r="R61" s="50">
        <f t="shared" si="18"/>
        <v>48</v>
      </c>
      <c r="S61" s="50">
        <f t="shared" si="18"/>
        <v>49</v>
      </c>
      <c r="T61" s="50">
        <f t="shared" si="18"/>
        <v>50</v>
      </c>
      <c r="U61" s="50">
        <f t="shared" si="18"/>
        <v>47</v>
      </c>
      <c r="V61" s="50">
        <f t="shared" si="18"/>
        <v>70</v>
      </c>
      <c r="W61" s="50">
        <f t="shared" si="18"/>
        <v>40</v>
      </c>
    </row>
    <row r="62" spans="1:23" x14ac:dyDescent="0.45">
      <c r="A62" s="12" t="s">
        <v>548</v>
      </c>
      <c r="B62" s="3" t="s">
        <v>549</v>
      </c>
      <c r="C62" s="12" t="s">
        <v>70</v>
      </c>
      <c r="E62" s="50">
        <f t="shared" si="17"/>
        <v>44</v>
      </c>
      <c r="F62" s="50">
        <f t="shared" si="17"/>
        <v>42</v>
      </c>
      <c r="G62" s="50">
        <f t="shared" si="17"/>
        <v>43</v>
      </c>
      <c r="H62" s="50">
        <f t="shared" si="17"/>
        <v>40</v>
      </c>
      <c r="I62" s="50">
        <f t="shared" si="17"/>
        <v>39</v>
      </c>
      <c r="J62" s="50">
        <f t="shared" si="17"/>
        <v>43</v>
      </c>
      <c r="K62" s="50">
        <f t="shared" si="17"/>
        <v>41</v>
      </c>
      <c r="L62" s="50">
        <f t="shared" si="17"/>
        <v>38</v>
      </c>
      <c r="M62" s="50">
        <f t="shared" si="17"/>
        <v>39</v>
      </c>
      <c r="N62" s="50">
        <f t="shared" si="17"/>
        <v>50</v>
      </c>
      <c r="O62" s="50">
        <f t="shared" si="18"/>
        <v>62</v>
      </c>
      <c r="P62" s="50">
        <f t="shared" si="18"/>
        <v>62</v>
      </c>
      <c r="Q62" s="50">
        <f t="shared" si="18"/>
        <v>59</v>
      </c>
      <c r="R62" s="50">
        <f t="shared" si="18"/>
        <v>58</v>
      </c>
      <c r="S62" s="50">
        <f t="shared" si="18"/>
        <v>60</v>
      </c>
      <c r="T62" s="50">
        <f t="shared" si="18"/>
        <v>63</v>
      </c>
      <c r="U62" s="50">
        <f t="shared" si="18"/>
        <v>68</v>
      </c>
      <c r="V62" s="50">
        <f t="shared" si="18"/>
        <v>73</v>
      </c>
      <c r="W62" s="50">
        <f t="shared" si="18"/>
        <v>77</v>
      </c>
    </row>
    <row r="63" spans="1:23" x14ac:dyDescent="0.45">
      <c r="A63" s="12" t="s">
        <v>1172</v>
      </c>
      <c r="B63" s="3" t="s">
        <v>553</v>
      </c>
      <c r="C63" s="12" t="s">
        <v>70</v>
      </c>
      <c r="E63" s="50">
        <f t="shared" si="17"/>
        <v>352</v>
      </c>
      <c r="F63" s="50">
        <f t="shared" si="17"/>
        <v>404</v>
      </c>
      <c r="G63" s="50">
        <f t="shared" si="17"/>
        <v>457</v>
      </c>
      <c r="H63" s="50">
        <f t="shared" si="17"/>
        <v>457</v>
      </c>
      <c r="I63" s="50">
        <f t="shared" si="17"/>
        <v>496</v>
      </c>
      <c r="J63" s="50">
        <f t="shared" si="17"/>
        <v>538</v>
      </c>
      <c r="K63" s="50">
        <f t="shared" si="17"/>
        <v>584</v>
      </c>
      <c r="L63" s="50">
        <f t="shared" si="17"/>
        <v>574</v>
      </c>
      <c r="M63" s="50">
        <f t="shared" si="17"/>
        <v>663</v>
      </c>
      <c r="N63" s="50">
        <f t="shared" si="17"/>
        <v>713</v>
      </c>
      <c r="O63" s="50">
        <f t="shared" si="18"/>
        <v>736</v>
      </c>
      <c r="P63" s="50">
        <f t="shared" si="18"/>
        <v>748</v>
      </c>
      <c r="Q63" s="50">
        <f t="shared" si="18"/>
        <v>811</v>
      </c>
      <c r="R63" s="50">
        <f t="shared" si="18"/>
        <v>844</v>
      </c>
      <c r="S63" s="50">
        <f t="shared" si="18"/>
        <v>894</v>
      </c>
      <c r="T63" s="50">
        <f t="shared" si="18"/>
        <v>911</v>
      </c>
      <c r="U63" s="50">
        <f t="shared" si="18"/>
        <v>969</v>
      </c>
      <c r="V63" s="50">
        <f t="shared" si="18"/>
        <v>1064</v>
      </c>
      <c r="W63" s="50">
        <f t="shared" si="18"/>
        <v>1104</v>
      </c>
    </row>
    <row r="64" spans="1:23" x14ac:dyDescent="0.45">
      <c r="A64" s="12" t="s">
        <v>1173</v>
      </c>
      <c r="B64" s="3" t="s">
        <v>557</v>
      </c>
      <c r="C64" s="12" t="s">
        <v>70</v>
      </c>
      <c r="E64" s="50">
        <f t="shared" si="17"/>
        <v>644</v>
      </c>
      <c r="F64" s="50">
        <f t="shared" si="17"/>
        <v>591</v>
      </c>
      <c r="G64" s="50">
        <f t="shared" si="17"/>
        <v>600</v>
      </c>
      <c r="H64" s="50">
        <f t="shared" si="17"/>
        <v>622</v>
      </c>
      <c r="I64" s="50">
        <f t="shared" si="17"/>
        <v>663</v>
      </c>
      <c r="J64" s="50">
        <f t="shared" si="17"/>
        <v>697</v>
      </c>
      <c r="K64" s="50">
        <f t="shared" si="17"/>
        <v>716</v>
      </c>
      <c r="L64" s="50">
        <f t="shared" si="17"/>
        <v>685</v>
      </c>
      <c r="M64" s="50">
        <f t="shared" si="17"/>
        <v>764</v>
      </c>
      <c r="N64" s="50">
        <f t="shared" si="17"/>
        <v>849</v>
      </c>
      <c r="O64" s="50">
        <f t="shared" si="18"/>
        <v>872</v>
      </c>
      <c r="P64" s="50">
        <f t="shared" si="18"/>
        <v>807</v>
      </c>
      <c r="Q64" s="50">
        <f t="shared" si="18"/>
        <v>863</v>
      </c>
      <c r="R64" s="50">
        <f t="shared" si="18"/>
        <v>891</v>
      </c>
      <c r="S64" s="50">
        <f t="shared" si="18"/>
        <v>949</v>
      </c>
      <c r="T64" s="50">
        <f t="shared" si="18"/>
        <v>957</v>
      </c>
      <c r="U64" s="50">
        <f t="shared" si="18"/>
        <v>1021</v>
      </c>
      <c r="V64" s="50">
        <f t="shared" si="18"/>
        <v>1104</v>
      </c>
      <c r="W64" s="50">
        <f t="shared" si="18"/>
        <v>1136</v>
      </c>
    </row>
    <row r="65" spans="1:23" x14ac:dyDescent="0.45">
      <c r="A65" s="12" t="s">
        <v>742</v>
      </c>
      <c r="B65" s="3" t="s">
        <v>1174</v>
      </c>
      <c r="C65" s="12" t="s">
        <v>70</v>
      </c>
      <c r="E65" s="50">
        <f t="shared" si="17"/>
        <v>0</v>
      </c>
      <c r="F65" s="50">
        <f t="shared" si="17"/>
        <v>0</v>
      </c>
      <c r="G65" s="50">
        <f t="shared" si="17"/>
        <v>0</v>
      </c>
      <c r="H65" s="50">
        <f t="shared" si="17"/>
        <v>0</v>
      </c>
      <c r="I65" s="50">
        <f t="shared" si="17"/>
        <v>0</v>
      </c>
      <c r="J65" s="50">
        <f t="shared" si="17"/>
        <v>0</v>
      </c>
      <c r="K65" s="50">
        <f t="shared" si="17"/>
        <v>0</v>
      </c>
      <c r="L65" s="50">
        <f t="shared" si="17"/>
        <v>0</v>
      </c>
      <c r="M65" s="50">
        <f t="shared" si="17"/>
        <v>0</v>
      </c>
      <c r="N65" s="50">
        <f t="shared" si="17"/>
        <v>0</v>
      </c>
      <c r="O65" s="50">
        <f t="shared" si="18"/>
        <v>0</v>
      </c>
      <c r="P65" s="50">
        <f t="shared" si="18"/>
        <v>0</v>
      </c>
      <c r="Q65" s="50">
        <f t="shared" si="18"/>
        <v>0</v>
      </c>
      <c r="R65" s="50">
        <f t="shared" si="18"/>
        <v>0</v>
      </c>
      <c r="S65" s="50">
        <f t="shared" si="18"/>
        <v>0</v>
      </c>
      <c r="T65" s="50">
        <f t="shared" si="18"/>
        <v>0</v>
      </c>
      <c r="U65" s="50">
        <f t="shared" si="18"/>
        <v>0</v>
      </c>
      <c r="V65" s="50">
        <f t="shared" si="18"/>
        <v>0</v>
      </c>
      <c r="W65" s="50">
        <f t="shared" si="18"/>
        <v>0</v>
      </c>
    </row>
    <row r="66" spans="1:23" x14ac:dyDescent="0.45">
      <c r="A66" s="12" t="s">
        <v>1175</v>
      </c>
      <c r="B66" s="3" t="s">
        <v>559</v>
      </c>
      <c r="C66" s="12" t="s">
        <v>70</v>
      </c>
      <c r="E66" s="50">
        <f t="shared" si="17"/>
        <v>1091</v>
      </c>
      <c r="F66" s="50">
        <f t="shared" si="17"/>
        <v>1143</v>
      </c>
      <c r="G66" s="50">
        <f t="shared" si="17"/>
        <v>1150</v>
      </c>
      <c r="H66" s="50">
        <f t="shared" si="17"/>
        <v>1119</v>
      </c>
      <c r="I66" s="50">
        <f t="shared" si="17"/>
        <v>1098</v>
      </c>
      <c r="J66" s="50">
        <f t="shared" si="17"/>
        <v>1098</v>
      </c>
      <c r="K66" s="50">
        <f t="shared" si="17"/>
        <v>1079</v>
      </c>
      <c r="L66" s="50">
        <f t="shared" si="17"/>
        <v>1149</v>
      </c>
      <c r="M66" s="50">
        <f t="shared" si="17"/>
        <v>1194</v>
      </c>
      <c r="N66" s="50">
        <f t="shared" si="17"/>
        <v>1203</v>
      </c>
      <c r="O66" s="50">
        <f t="shared" si="18"/>
        <v>1283</v>
      </c>
      <c r="P66" s="50">
        <f t="shared" si="18"/>
        <v>1420</v>
      </c>
      <c r="Q66" s="50">
        <f t="shared" si="18"/>
        <v>1545</v>
      </c>
      <c r="R66" s="50">
        <f t="shared" si="18"/>
        <v>1673</v>
      </c>
      <c r="S66" s="50">
        <f t="shared" si="18"/>
        <v>1818</v>
      </c>
      <c r="T66" s="50">
        <f t="shared" si="18"/>
        <v>2014</v>
      </c>
      <c r="U66" s="50">
        <f t="shared" si="18"/>
        <v>2124</v>
      </c>
      <c r="V66" s="50">
        <f t="shared" si="18"/>
        <v>1990</v>
      </c>
      <c r="W66" s="50">
        <f t="shared" si="18"/>
        <v>2045</v>
      </c>
    </row>
    <row r="67" spans="1:23" x14ac:dyDescent="0.45">
      <c r="A67" s="12" t="s">
        <v>1176</v>
      </c>
      <c r="B67" s="3" t="s">
        <v>561</v>
      </c>
      <c r="C67" s="12" t="s">
        <v>70</v>
      </c>
      <c r="E67" s="50">
        <f t="shared" si="17"/>
        <v>1735</v>
      </c>
      <c r="F67" s="50">
        <f t="shared" si="17"/>
        <v>1734</v>
      </c>
      <c r="G67" s="50">
        <f t="shared" si="17"/>
        <v>1750</v>
      </c>
      <c r="H67" s="50">
        <f t="shared" si="17"/>
        <v>1741</v>
      </c>
      <c r="I67" s="50">
        <f t="shared" si="17"/>
        <v>1761</v>
      </c>
      <c r="J67" s="50">
        <f t="shared" si="17"/>
        <v>1795</v>
      </c>
      <c r="K67" s="50">
        <f t="shared" si="17"/>
        <v>1795</v>
      </c>
      <c r="L67" s="50">
        <f t="shared" si="17"/>
        <v>1834</v>
      </c>
      <c r="M67" s="50">
        <f t="shared" si="17"/>
        <v>1958</v>
      </c>
      <c r="N67" s="50">
        <f t="shared" si="17"/>
        <v>2052</v>
      </c>
      <c r="O67" s="50">
        <f t="shared" si="18"/>
        <v>2155</v>
      </c>
      <c r="P67" s="50">
        <f t="shared" si="18"/>
        <v>2227</v>
      </c>
      <c r="Q67" s="50">
        <f t="shared" si="18"/>
        <v>2408</v>
      </c>
      <c r="R67" s="50">
        <f t="shared" si="18"/>
        <v>2564</v>
      </c>
      <c r="S67" s="50">
        <f t="shared" si="18"/>
        <v>2767</v>
      </c>
      <c r="T67" s="50">
        <f t="shared" si="18"/>
        <v>2971</v>
      </c>
      <c r="U67" s="50">
        <f t="shared" si="18"/>
        <v>3145</v>
      </c>
      <c r="V67" s="50">
        <f t="shared" si="18"/>
        <v>3094</v>
      </c>
      <c r="W67" s="50">
        <f t="shared" si="18"/>
        <v>3181</v>
      </c>
    </row>
    <row r="68" spans="1:23" x14ac:dyDescent="0.45">
      <c r="A68" s="12" t="s">
        <v>531</v>
      </c>
      <c r="B68" s="3" t="s">
        <v>1177</v>
      </c>
      <c r="C68" s="12" t="s">
        <v>70</v>
      </c>
      <c r="E68" s="50">
        <f t="shared" ref="E68:W68" si="19">E54-E49-E50-E51-E52-E53</f>
        <v>88</v>
      </c>
      <c r="F68" s="50">
        <f t="shared" si="19"/>
        <v>105</v>
      </c>
      <c r="G68" s="50">
        <f t="shared" si="19"/>
        <v>105</v>
      </c>
      <c r="H68" s="50">
        <f t="shared" si="19"/>
        <v>115</v>
      </c>
      <c r="I68" s="50">
        <f t="shared" si="19"/>
        <v>139</v>
      </c>
      <c r="J68" s="50">
        <f t="shared" si="19"/>
        <v>150</v>
      </c>
      <c r="K68" s="50">
        <f t="shared" si="19"/>
        <v>152</v>
      </c>
      <c r="L68" s="50">
        <f t="shared" si="19"/>
        <v>170</v>
      </c>
      <c r="M68" s="50">
        <f t="shared" si="19"/>
        <v>172</v>
      </c>
      <c r="N68" s="50">
        <f t="shared" si="19"/>
        <v>194</v>
      </c>
      <c r="O68" s="50">
        <f t="shared" si="19"/>
        <v>194</v>
      </c>
      <c r="P68" s="50">
        <f t="shared" si="19"/>
        <v>192</v>
      </c>
      <c r="Q68" s="50">
        <f t="shared" si="19"/>
        <v>202</v>
      </c>
      <c r="R68" s="50">
        <f t="shared" si="19"/>
        <v>217</v>
      </c>
      <c r="S68" s="50">
        <f t="shared" si="19"/>
        <v>223</v>
      </c>
      <c r="T68" s="50">
        <f t="shared" si="19"/>
        <v>241</v>
      </c>
      <c r="U68" s="50">
        <f t="shared" si="19"/>
        <v>278</v>
      </c>
      <c r="V68" s="50">
        <f t="shared" si="19"/>
        <v>307</v>
      </c>
      <c r="W68" s="50">
        <f t="shared" si="19"/>
        <v>362</v>
      </c>
    </row>
    <row r="69" spans="1:23" x14ac:dyDescent="0.45">
      <c r="A69" s="12" t="s">
        <v>541</v>
      </c>
      <c r="B69" s="3" t="s">
        <v>1178</v>
      </c>
      <c r="C69" s="12" t="s">
        <v>70</v>
      </c>
      <c r="E69" s="50">
        <f t="shared" ref="E69:W69" si="20">E59-E55-E56-E57-E58</f>
        <v>111</v>
      </c>
      <c r="F69" s="50">
        <f t="shared" si="20"/>
        <v>115</v>
      </c>
      <c r="G69" s="50">
        <f t="shared" si="20"/>
        <v>118</v>
      </c>
      <c r="H69" s="50">
        <f t="shared" si="20"/>
        <v>128</v>
      </c>
      <c r="I69" s="50">
        <f t="shared" si="20"/>
        <v>129</v>
      </c>
      <c r="J69" s="50">
        <f t="shared" si="20"/>
        <v>137</v>
      </c>
      <c r="K69" s="50">
        <f t="shared" si="20"/>
        <v>93</v>
      </c>
      <c r="L69" s="50">
        <f t="shared" si="20"/>
        <v>95</v>
      </c>
      <c r="M69" s="50">
        <f t="shared" si="20"/>
        <v>119</v>
      </c>
      <c r="N69" s="50">
        <f t="shared" si="20"/>
        <v>124</v>
      </c>
      <c r="O69" s="50">
        <f t="shared" si="20"/>
        <v>132</v>
      </c>
      <c r="P69" s="50">
        <f t="shared" si="20"/>
        <v>139</v>
      </c>
      <c r="Q69" s="50">
        <f t="shared" si="20"/>
        <v>143</v>
      </c>
      <c r="R69" s="50">
        <f t="shared" si="20"/>
        <v>150</v>
      </c>
      <c r="S69" s="50">
        <f t="shared" si="20"/>
        <v>161</v>
      </c>
      <c r="T69" s="50">
        <f t="shared" si="20"/>
        <v>171</v>
      </c>
      <c r="U69" s="50">
        <f t="shared" si="20"/>
        <v>146</v>
      </c>
      <c r="V69" s="50">
        <f t="shared" si="20"/>
        <v>188</v>
      </c>
      <c r="W69" s="50">
        <f t="shared" si="20"/>
        <v>185</v>
      </c>
    </row>
    <row r="70" spans="1:23" x14ac:dyDescent="0.45">
      <c r="A70" s="12" t="s">
        <v>550</v>
      </c>
      <c r="B70" s="3" t="s">
        <v>1179</v>
      </c>
      <c r="C70" s="12" t="s">
        <v>70</v>
      </c>
      <c r="E70" s="50">
        <f t="shared" ref="E70:W70" si="21">E63-E61-E62</f>
        <v>268</v>
      </c>
      <c r="F70" s="50">
        <f t="shared" si="21"/>
        <v>333</v>
      </c>
      <c r="G70" s="50">
        <f t="shared" si="21"/>
        <v>377</v>
      </c>
      <c r="H70" s="50">
        <f t="shared" si="21"/>
        <v>389</v>
      </c>
      <c r="I70" s="50">
        <f t="shared" si="21"/>
        <v>427</v>
      </c>
      <c r="J70" s="50">
        <f t="shared" si="21"/>
        <v>459</v>
      </c>
      <c r="K70" s="50">
        <f t="shared" si="21"/>
        <v>501</v>
      </c>
      <c r="L70" s="50">
        <f t="shared" si="21"/>
        <v>509</v>
      </c>
      <c r="M70" s="50">
        <f t="shared" si="21"/>
        <v>592</v>
      </c>
      <c r="N70" s="50">
        <f t="shared" si="21"/>
        <v>614</v>
      </c>
      <c r="O70" s="50">
        <f t="shared" si="21"/>
        <v>641</v>
      </c>
      <c r="P70" s="50">
        <f t="shared" si="21"/>
        <v>656</v>
      </c>
      <c r="Q70" s="50">
        <f t="shared" si="21"/>
        <v>715</v>
      </c>
      <c r="R70" s="50">
        <f t="shared" si="21"/>
        <v>738</v>
      </c>
      <c r="S70" s="50">
        <f t="shared" si="21"/>
        <v>785</v>
      </c>
      <c r="T70" s="50">
        <f t="shared" si="21"/>
        <v>798</v>
      </c>
      <c r="U70" s="50">
        <f t="shared" si="21"/>
        <v>854</v>
      </c>
      <c r="V70" s="50">
        <f t="shared" si="21"/>
        <v>921</v>
      </c>
      <c r="W70" s="50">
        <f t="shared" si="21"/>
        <v>987</v>
      </c>
    </row>
    <row r="71" spans="1:23" x14ac:dyDescent="0.45">
      <c r="A71" s="12" t="s">
        <v>554</v>
      </c>
      <c r="B71" s="3" t="s">
        <v>1180</v>
      </c>
      <c r="C71" s="12" t="s">
        <v>70</v>
      </c>
      <c r="E71" s="50">
        <f t="shared" ref="E71:W71" si="22">E64-E63</f>
        <v>292</v>
      </c>
      <c r="F71" s="50">
        <f t="shared" si="22"/>
        <v>187</v>
      </c>
      <c r="G71" s="50">
        <f t="shared" si="22"/>
        <v>143</v>
      </c>
      <c r="H71" s="50">
        <f t="shared" si="22"/>
        <v>165</v>
      </c>
      <c r="I71" s="50">
        <f t="shared" si="22"/>
        <v>167</v>
      </c>
      <c r="J71" s="50">
        <f t="shared" si="22"/>
        <v>159</v>
      </c>
      <c r="K71" s="50">
        <f t="shared" si="22"/>
        <v>132</v>
      </c>
      <c r="L71" s="50">
        <f t="shared" si="22"/>
        <v>111</v>
      </c>
      <c r="M71" s="50">
        <f t="shared" si="22"/>
        <v>101</v>
      </c>
      <c r="N71" s="50">
        <f t="shared" si="22"/>
        <v>136</v>
      </c>
      <c r="O71" s="50">
        <f t="shared" si="22"/>
        <v>136</v>
      </c>
      <c r="P71" s="50">
        <f t="shared" si="22"/>
        <v>59</v>
      </c>
      <c r="Q71" s="50">
        <f t="shared" si="22"/>
        <v>52</v>
      </c>
      <c r="R71" s="50">
        <f t="shared" si="22"/>
        <v>47</v>
      </c>
      <c r="S71" s="50">
        <f t="shared" si="22"/>
        <v>55</v>
      </c>
      <c r="T71" s="50">
        <f t="shared" si="22"/>
        <v>46</v>
      </c>
      <c r="U71" s="50">
        <f t="shared" si="22"/>
        <v>52</v>
      </c>
      <c r="V71" s="50">
        <f t="shared" si="22"/>
        <v>40</v>
      </c>
      <c r="W71" s="50">
        <f t="shared" si="22"/>
        <v>32</v>
      </c>
    </row>
    <row r="72" spans="1:23" x14ac:dyDescent="0.45">
      <c r="A72" s="21"/>
      <c r="B72" s="22" t="s">
        <v>1181</v>
      </c>
      <c r="C72" s="21"/>
      <c r="D72" s="21"/>
      <c r="E72" s="21"/>
      <c r="F72" s="21"/>
      <c r="G72" s="21"/>
      <c r="H72" s="21"/>
      <c r="I72" s="21"/>
      <c r="J72" s="21"/>
      <c r="K72" s="21"/>
      <c r="L72" s="21"/>
      <c r="M72" s="21"/>
      <c r="N72" s="21"/>
      <c r="O72" s="21"/>
      <c r="P72" s="21"/>
      <c r="Q72" s="21"/>
      <c r="R72" s="21"/>
      <c r="S72" s="21"/>
      <c r="T72" s="21"/>
      <c r="U72" s="21"/>
      <c r="V72" s="21"/>
      <c r="W72" s="21"/>
    </row>
    <row r="73" spans="1:23" x14ac:dyDescent="0.45">
      <c r="A73" s="12" t="s">
        <v>337</v>
      </c>
      <c r="B73" s="3" t="s">
        <v>1182</v>
      </c>
      <c r="C73" s="12" t="s">
        <v>65</v>
      </c>
      <c r="E73" s="50">
        <f t="shared" ref="E73:N74" si="23">SUMIFS(Src_Val,Src_Key,$A73,Src_PK,E$14)</f>
        <v>57000</v>
      </c>
      <c r="F73" s="50">
        <f t="shared" si="23"/>
        <v>62000</v>
      </c>
      <c r="G73" s="50">
        <f t="shared" si="23"/>
        <v>68000</v>
      </c>
      <c r="H73" s="50">
        <f t="shared" si="23"/>
        <v>74000</v>
      </c>
      <c r="I73" s="50">
        <f t="shared" si="23"/>
        <v>79000</v>
      </c>
      <c r="J73" s="50">
        <f t="shared" si="23"/>
        <v>85000</v>
      </c>
      <c r="K73" s="50">
        <f t="shared" si="23"/>
        <v>93000</v>
      </c>
      <c r="L73" s="50">
        <f t="shared" si="23"/>
        <v>99000</v>
      </c>
      <c r="M73" s="50">
        <f t="shared" si="23"/>
        <v>106000</v>
      </c>
      <c r="N73" s="50">
        <f t="shared" si="23"/>
        <v>112000</v>
      </c>
      <c r="O73" s="50">
        <f t="shared" ref="O73:W74" si="24">SUMIFS(Src_Val,Src_Key,$A73,Src_PK,O$14)</f>
        <v>120000</v>
      </c>
      <c r="P73" s="50">
        <f t="shared" si="24"/>
        <v>127000</v>
      </c>
      <c r="Q73" s="50">
        <f t="shared" si="24"/>
        <v>134000</v>
      </c>
      <c r="R73" s="50">
        <f t="shared" si="24"/>
        <v>140000</v>
      </c>
      <c r="S73" s="50">
        <f t="shared" si="24"/>
        <v>148000</v>
      </c>
      <c r="T73" s="50">
        <f t="shared" si="24"/>
        <v>156000</v>
      </c>
      <c r="U73" s="50">
        <f t="shared" si="24"/>
        <v>164000</v>
      </c>
      <c r="V73" s="50">
        <f t="shared" si="24"/>
        <v>171000</v>
      </c>
      <c r="W73" s="50">
        <f t="shared" si="24"/>
        <v>180000</v>
      </c>
    </row>
    <row r="74" spans="1:23" x14ac:dyDescent="0.45">
      <c r="A74" s="12" t="s">
        <v>434</v>
      </c>
      <c r="B74" s="3" t="s">
        <v>1183</v>
      </c>
      <c r="C74" s="12" t="s">
        <v>70</v>
      </c>
      <c r="E74" s="50">
        <f t="shared" si="23"/>
        <v>568</v>
      </c>
      <c r="F74" s="50">
        <f t="shared" si="23"/>
        <v>637</v>
      </c>
      <c r="G74" s="50">
        <f t="shared" si="23"/>
        <v>787</v>
      </c>
      <c r="H74" s="50">
        <f t="shared" si="23"/>
        <v>868</v>
      </c>
      <c r="I74" s="50">
        <f t="shared" si="23"/>
        <v>901</v>
      </c>
      <c r="J74" s="50">
        <f t="shared" si="23"/>
        <v>987</v>
      </c>
      <c r="K74" s="50">
        <f t="shared" si="23"/>
        <v>1140</v>
      </c>
      <c r="L74" s="50">
        <f t="shared" si="23"/>
        <v>1218</v>
      </c>
      <c r="M74" s="50">
        <f t="shared" si="23"/>
        <v>1218</v>
      </c>
      <c r="N74" s="50">
        <f t="shared" si="23"/>
        <v>1305</v>
      </c>
      <c r="O74" s="50">
        <f t="shared" si="24"/>
        <v>1473</v>
      </c>
      <c r="P74" s="50">
        <f t="shared" si="24"/>
        <v>1554</v>
      </c>
      <c r="Q74" s="50">
        <f t="shared" si="24"/>
        <v>1626</v>
      </c>
      <c r="R74" s="50">
        <f t="shared" si="24"/>
        <v>1713</v>
      </c>
      <c r="S74" s="50">
        <f t="shared" si="24"/>
        <v>1928</v>
      </c>
      <c r="T74" s="50">
        <f t="shared" si="24"/>
        <v>2016</v>
      </c>
      <c r="U74" s="50">
        <f t="shared" si="24"/>
        <v>2047</v>
      </c>
      <c r="V74" s="50">
        <f t="shared" si="24"/>
        <v>2151</v>
      </c>
      <c r="W74" s="50">
        <f t="shared" si="24"/>
        <v>2409</v>
      </c>
    </row>
    <row r="75" spans="1:23" x14ac:dyDescent="0.45">
      <c r="A75" s="12" t="s">
        <v>361</v>
      </c>
      <c r="B75" s="3" t="s">
        <v>362</v>
      </c>
      <c r="C75" s="12" t="s">
        <v>68</v>
      </c>
      <c r="E75" s="52">
        <f t="shared" ref="E75:N85" si="25">SUMIFS(Src_Val,Src_Key,$A75,Src_PK,E$9)</f>
        <v>17.100000000000001</v>
      </c>
      <c r="F75" s="52">
        <f t="shared" si="25"/>
        <v>17.8</v>
      </c>
      <c r="G75" s="52">
        <f t="shared" si="25"/>
        <v>23.3</v>
      </c>
      <c r="H75" s="52">
        <f t="shared" si="25"/>
        <v>25.2</v>
      </c>
      <c r="I75" s="52">
        <f t="shared" si="25"/>
        <v>25.5</v>
      </c>
      <c r="J75" s="52">
        <f t="shared" si="25"/>
        <v>26.7</v>
      </c>
      <c r="K75" s="52">
        <f t="shared" si="25"/>
        <v>32.1</v>
      </c>
      <c r="L75" s="52">
        <f t="shared" si="25"/>
        <v>33.700000000000003</v>
      </c>
      <c r="M75" s="52">
        <f t="shared" si="25"/>
        <v>33.700000000000003</v>
      </c>
      <c r="N75" s="52">
        <f t="shared" si="25"/>
        <v>34.700000000000003</v>
      </c>
      <c r="O75" s="52">
        <f t="shared" ref="O75:W85" si="26">SUMIFS(Src_Val,Src_Key,$A75,Src_PK,O$9)</f>
        <v>40.5</v>
      </c>
      <c r="P75" s="52">
        <f t="shared" si="26"/>
        <v>41.7</v>
      </c>
      <c r="Q75" s="52">
        <f t="shared" si="26"/>
        <v>42.2</v>
      </c>
      <c r="R75" s="52">
        <f t="shared" si="26"/>
        <v>42.2</v>
      </c>
      <c r="S75" s="52">
        <f t="shared" si="26"/>
        <v>49.9</v>
      </c>
      <c r="T75" s="52">
        <f t="shared" si="26"/>
        <v>51.5</v>
      </c>
      <c r="U75" s="52">
        <f t="shared" si="26"/>
        <v>51.4</v>
      </c>
      <c r="V75" s="52">
        <f t="shared" si="26"/>
        <v>51.3</v>
      </c>
      <c r="W75" s="52">
        <f t="shared" si="26"/>
        <v>60.7</v>
      </c>
    </row>
    <row r="76" spans="1:23" x14ac:dyDescent="0.45">
      <c r="A76" s="12" t="s">
        <v>509</v>
      </c>
      <c r="B76" s="3" t="s">
        <v>1184</v>
      </c>
      <c r="C76" s="12" t="s">
        <v>70</v>
      </c>
      <c r="E76" s="50">
        <f t="shared" si="25"/>
        <v>-45</v>
      </c>
      <c r="F76" s="50">
        <f t="shared" si="25"/>
        <v>-45</v>
      </c>
      <c r="G76" s="50">
        <f t="shared" si="25"/>
        <v>-33</v>
      </c>
      <c r="H76" s="50">
        <f t="shared" si="25"/>
        <v>-19</v>
      </c>
      <c r="I76" s="50">
        <f t="shared" si="25"/>
        <v>-18</v>
      </c>
      <c r="J76" s="50">
        <f t="shared" si="25"/>
        <v>-17</v>
      </c>
      <c r="K76" s="50">
        <f t="shared" si="25"/>
        <v>15</v>
      </c>
      <c r="L76" s="50">
        <f t="shared" si="25"/>
        <v>35</v>
      </c>
      <c r="M76" s="50">
        <f t="shared" si="25"/>
        <v>29</v>
      </c>
      <c r="N76" s="50">
        <f t="shared" si="25"/>
        <v>57</v>
      </c>
      <c r="O76" s="50">
        <f t="shared" si="26"/>
        <v>92</v>
      </c>
      <c r="P76" s="50">
        <f t="shared" si="26"/>
        <v>113</v>
      </c>
      <c r="Q76" s="50">
        <f t="shared" si="26"/>
        <v>111</v>
      </c>
      <c r="R76" s="50">
        <f t="shared" si="26"/>
        <v>133</v>
      </c>
      <c r="S76" s="50">
        <f t="shared" si="26"/>
        <v>161</v>
      </c>
      <c r="T76" s="50">
        <f t="shared" si="26"/>
        <v>176</v>
      </c>
      <c r="U76" s="50">
        <f t="shared" si="26"/>
        <v>163</v>
      </c>
      <c r="V76" s="50">
        <f t="shared" si="26"/>
        <v>179</v>
      </c>
      <c r="W76" s="50">
        <f t="shared" si="26"/>
        <v>221</v>
      </c>
    </row>
    <row r="77" spans="1:23" x14ac:dyDescent="0.45">
      <c r="A77" s="12" t="s">
        <v>608</v>
      </c>
      <c r="B77" s="3" t="s">
        <v>1185</v>
      </c>
      <c r="C77" s="12" t="s">
        <v>70</v>
      </c>
      <c r="E77" s="50">
        <f t="shared" si="25"/>
        <v>-34</v>
      </c>
      <c r="F77" s="50">
        <f t="shared" si="25"/>
        <v>-50</v>
      </c>
      <c r="G77" s="50">
        <f t="shared" si="25"/>
        <v>-30</v>
      </c>
      <c r="H77" s="50">
        <f t="shared" si="25"/>
        <v>-80</v>
      </c>
      <c r="I77" s="50">
        <f t="shared" si="25"/>
        <v>-29</v>
      </c>
      <c r="J77" s="50">
        <f t="shared" si="25"/>
        <v>-65</v>
      </c>
      <c r="K77" s="50">
        <f t="shared" si="25"/>
        <v>39</v>
      </c>
      <c r="L77" s="50">
        <f t="shared" si="25"/>
        <v>37</v>
      </c>
      <c r="M77" s="50">
        <f t="shared" si="25"/>
        <v>81</v>
      </c>
      <c r="N77" s="50">
        <f t="shared" si="25"/>
        <v>-33</v>
      </c>
      <c r="O77" s="50">
        <f t="shared" si="26"/>
        <v>108</v>
      </c>
      <c r="P77" s="50">
        <f t="shared" si="26"/>
        <v>97</v>
      </c>
      <c r="Q77" s="50">
        <f t="shared" si="26"/>
        <v>134</v>
      </c>
      <c r="R77" s="50">
        <f t="shared" si="26"/>
        <v>69</v>
      </c>
      <c r="S77" s="50">
        <f t="shared" si="26"/>
        <v>208</v>
      </c>
      <c r="T77" s="50">
        <f t="shared" si="26"/>
        <v>153</v>
      </c>
      <c r="U77" s="50">
        <f t="shared" si="26"/>
        <v>178</v>
      </c>
      <c r="V77" s="50">
        <f t="shared" si="26"/>
        <v>115</v>
      </c>
      <c r="W77" s="50">
        <f t="shared" si="26"/>
        <v>130</v>
      </c>
    </row>
    <row r="78" spans="1:23" x14ac:dyDescent="0.45">
      <c r="A78" s="12" t="s">
        <v>1186</v>
      </c>
      <c r="B78" s="3" t="s">
        <v>1187</v>
      </c>
      <c r="C78" s="12" t="s">
        <v>70</v>
      </c>
      <c r="E78" s="50">
        <f t="shared" si="25"/>
        <v>0</v>
      </c>
      <c r="F78" s="50">
        <f t="shared" si="25"/>
        <v>0</v>
      </c>
      <c r="G78" s="50">
        <f t="shared" si="25"/>
        <v>0</v>
      </c>
      <c r="H78" s="50">
        <f t="shared" si="25"/>
        <v>0</v>
      </c>
      <c r="I78" s="50">
        <f t="shared" si="25"/>
        <v>70</v>
      </c>
      <c r="J78" s="50">
        <f t="shared" si="25"/>
        <v>79</v>
      </c>
      <c r="K78" s="50">
        <f t="shared" si="25"/>
        <v>90</v>
      </c>
      <c r="L78" s="50">
        <f t="shared" si="25"/>
        <v>98</v>
      </c>
      <c r="M78" s="50">
        <f t="shared" si="25"/>
        <v>105</v>
      </c>
      <c r="N78" s="50">
        <f t="shared" si="25"/>
        <v>113</v>
      </c>
      <c r="O78" s="50">
        <f t="shared" si="26"/>
        <v>127</v>
      </c>
      <c r="P78" s="50">
        <f t="shared" si="26"/>
        <v>146</v>
      </c>
      <c r="Q78" s="50">
        <f t="shared" si="26"/>
        <v>154</v>
      </c>
      <c r="R78" s="50">
        <f t="shared" si="26"/>
        <v>164</v>
      </c>
      <c r="S78" s="50">
        <f t="shared" si="26"/>
        <v>180</v>
      </c>
      <c r="T78" s="50">
        <f t="shared" si="26"/>
        <v>192</v>
      </c>
      <c r="U78" s="50">
        <f t="shared" si="26"/>
        <v>205</v>
      </c>
      <c r="V78" s="50">
        <f t="shared" si="26"/>
        <v>217</v>
      </c>
      <c r="W78" s="50">
        <f t="shared" si="26"/>
        <v>236</v>
      </c>
    </row>
    <row r="79" spans="1:23" x14ac:dyDescent="0.45">
      <c r="A79" s="12" t="s">
        <v>1188</v>
      </c>
      <c r="B79" s="3" t="s">
        <v>1189</v>
      </c>
      <c r="C79" s="12" t="s">
        <v>70</v>
      </c>
      <c r="E79" s="50">
        <f t="shared" si="25"/>
        <v>0</v>
      </c>
      <c r="F79" s="50">
        <f t="shared" si="25"/>
        <v>0</v>
      </c>
      <c r="G79" s="50">
        <f t="shared" si="25"/>
        <v>0</v>
      </c>
      <c r="H79" s="50">
        <f t="shared" si="25"/>
        <v>0</v>
      </c>
      <c r="I79" s="50">
        <f t="shared" si="25"/>
        <v>137</v>
      </c>
      <c r="J79" s="50">
        <f t="shared" si="25"/>
        <v>150</v>
      </c>
      <c r="K79" s="50">
        <f t="shared" si="25"/>
        <v>177</v>
      </c>
      <c r="L79" s="50">
        <f t="shared" si="25"/>
        <v>182</v>
      </c>
      <c r="M79" s="50">
        <f t="shared" si="25"/>
        <v>176</v>
      </c>
      <c r="N79" s="50">
        <f t="shared" si="25"/>
        <v>190</v>
      </c>
      <c r="O79" s="50">
        <f t="shared" si="26"/>
        <v>217</v>
      </c>
      <c r="P79" s="50">
        <f t="shared" si="26"/>
        <v>232</v>
      </c>
      <c r="Q79" s="50">
        <f t="shared" si="26"/>
        <v>238</v>
      </c>
      <c r="R79" s="50">
        <f t="shared" si="26"/>
        <v>251</v>
      </c>
      <c r="S79" s="50">
        <f t="shared" si="26"/>
        <v>284</v>
      </c>
      <c r="T79" s="50">
        <f t="shared" si="26"/>
        <v>313</v>
      </c>
      <c r="U79" s="50">
        <f t="shared" si="26"/>
        <v>298</v>
      </c>
      <c r="V79" s="50">
        <f t="shared" si="26"/>
        <v>312</v>
      </c>
      <c r="W79" s="50">
        <f t="shared" si="26"/>
        <v>359</v>
      </c>
    </row>
    <row r="80" spans="1:23" x14ac:dyDescent="0.45">
      <c r="A80" s="12" t="s">
        <v>1190</v>
      </c>
      <c r="B80" s="3" t="s">
        <v>1191</v>
      </c>
      <c r="C80" s="12" t="s">
        <v>70</v>
      </c>
      <c r="E80" s="50">
        <f t="shared" si="25"/>
        <v>0</v>
      </c>
      <c r="F80" s="50">
        <f t="shared" si="25"/>
        <v>0</v>
      </c>
      <c r="G80" s="50">
        <f t="shared" si="25"/>
        <v>0</v>
      </c>
      <c r="H80" s="50">
        <f t="shared" si="25"/>
        <v>0</v>
      </c>
      <c r="I80" s="50">
        <f t="shared" si="25"/>
        <v>-35</v>
      </c>
      <c r="J80" s="50">
        <f t="shared" si="25"/>
        <v>-40</v>
      </c>
      <c r="K80" s="50">
        <f t="shared" si="25"/>
        <v>-42</v>
      </c>
      <c r="L80" s="50">
        <f t="shared" si="25"/>
        <v>-36</v>
      </c>
      <c r="M80" s="50">
        <f t="shared" si="25"/>
        <v>-36</v>
      </c>
      <c r="N80" s="50">
        <f t="shared" si="25"/>
        <v>-35</v>
      </c>
      <c r="O80" s="50">
        <f t="shared" si="26"/>
        <v>-36</v>
      </c>
      <c r="P80" s="50">
        <f t="shared" si="26"/>
        <v>-36</v>
      </c>
      <c r="Q80" s="50">
        <f t="shared" si="26"/>
        <v>-38</v>
      </c>
      <c r="R80" s="50">
        <f t="shared" si="26"/>
        <v>-41</v>
      </c>
      <c r="S80" s="50">
        <f t="shared" si="26"/>
        <v>-48</v>
      </c>
      <c r="T80" s="50">
        <f t="shared" si="26"/>
        <v>-51</v>
      </c>
      <c r="U80" s="50">
        <f t="shared" si="26"/>
        <v>-57</v>
      </c>
      <c r="V80" s="50">
        <f t="shared" si="26"/>
        <v>-68</v>
      </c>
      <c r="W80" s="50">
        <f t="shared" si="26"/>
        <v>-64</v>
      </c>
    </row>
    <row r="81" spans="1:23" x14ac:dyDescent="0.45">
      <c r="A81" s="12" t="s">
        <v>479</v>
      </c>
      <c r="B81" s="3" t="s">
        <v>1192</v>
      </c>
      <c r="C81" s="12" t="s">
        <v>70</v>
      </c>
      <c r="E81" s="50">
        <f t="shared" si="25"/>
        <v>48</v>
      </c>
      <c r="F81" s="50">
        <f t="shared" si="25"/>
        <v>57</v>
      </c>
      <c r="G81" s="50">
        <f t="shared" si="25"/>
        <v>63</v>
      </c>
      <c r="H81" s="50">
        <f t="shared" si="25"/>
        <v>71</v>
      </c>
      <c r="I81" s="50">
        <f t="shared" si="25"/>
        <v>73</v>
      </c>
      <c r="J81" s="50">
        <f t="shared" si="25"/>
        <v>83</v>
      </c>
      <c r="K81" s="50">
        <f t="shared" si="25"/>
        <v>84</v>
      </c>
      <c r="L81" s="50">
        <f t="shared" si="25"/>
        <v>83</v>
      </c>
      <c r="M81" s="50">
        <f t="shared" si="25"/>
        <v>86</v>
      </c>
      <c r="N81" s="50">
        <f t="shared" si="25"/>
        <v>93</v>
      </c>
      <c r="O81" s="50">
        <f t="shared" si="26"/>
        <v>97</v>
      </c>
      <c r="P81" s="50">
        <f t="shared" si="26"/>
        <v>105</v>
      </c>
      <c r="Q81" s="50">
        <f t="shared" si="26"/>
        <v>114</v>
      </c>
      <c r="R81" s="50">
        <f t="shared" si="26"/>
        <v>117</v>
      </c>
      <c r="S81" s="50">
        <f t="shared" si="26"/>
        <v>124</v>
      </c>
      <c r="T81" s="50">
        <f t="shared" si="26"/>
        <v>128</v>
      </c>
      <c r="U81" s="50">
        <f t="shared" si="26"/>
        <v>139</v>
      </c>
      <c r="V81" s="50">
        <f t="shared" si="26"/>
        <v>141</v>
      </c>
      <c r="W81" s="50">
        <f t="shared" si="26"/>
        <v>152</v>
      </c>
    </row>
    <row r="82" spans="1:23" x14ac:dyDescent="0.45">
      <c r="A82" s="12" t="s">
        <v>485</v>
      </c>
      <c r="B82" s="3" t="s">
        <v>1193</v>
      </c>
      <c r="C82" s="12" t="s">
        <v>70</v>
      </c>
      <c r="E82" s="50">
        <f t="shared" si="25"/>
        <v>37</v>
      </c>
      <c r="F82" s="50">
        <f t="shared" si="25"/>
        <v>46</v>
      </c>
      <c r="G82" s="50">
        <f t="shared" si="25"/>
        <v>48</v>
      </c>
      <c r="H82" s="50">
        <f t="shared" si="25"/>
        <v>55</v>
      </c>
      <c r="I82" s="50">
        <f t="shared" si="25"/>
        <v>58</v>
      </c>
      <c r="J82" s="50">
        <f t="shared" si="25"/>
        <v>62</v>
      </c>
      <c r="K82" s="50">
        <f t="shared" si="25"/>
        <v>66</v>
      </c>
      <c r="L82" s="50">
        <f t="shared" si="25"/>
        <v>62</v>
      </c>
      <c r="M82" s="50">
        <f t="shared" si="25"/>
        <v>68</v>
      </c>
      <c r="N82" s="50">
        <f t="shared" si="25"/>
        <v>62</v>
      </c>
      <c r="O82" s="50">
        <f t="shared" si="26"/>
        <v>63</v>
      </c>
      <c r="P82" s="50">
        <f t="shared" si="26"/>
        <v>66</v>
      </c>
      <c r="Q82" s="50">
        <f t="shared" si="26"/>
        <v>69</v>
      </c>
      <c r="R82" s="50">
        <f t="shared" si="26"/>
        <v>61</v>
      </c>
      <c r="S82" s="50">
        <f t="shared" si="26"/>
        <v>69</v>
      </c>
      <c r="T82" s="50">
        <f t="shared" si="26"/>
        <v>73</v>
      </c>
      <c r="U82" s="50">
        <f t="shared" si="26"/>
        <v>74</v>
      </c>
      <c r="V82" s="50">
        <f t="shared" si="26"/>
        <v>73</v>
      </c>
      <c r="W82" s="50">
        <f t="shared" si="26"/>
        <v>85</v>
      </c>
    </row>
    <row r="83" spans="1:23" x14ac:dyDescent="0.45">
      <c r="A83" s="12" t="s">
        <v>487</v>
      </c>
      <c r="B83" s="3" t="s">
        <v>1194</v>
      </c>
      <c r="C83" s="12" t="s">
        <v>70</v>
      </c>
      <c r="E83" s="50">
        <f t="shared" si="25"/>
        <v>44</v>
      </c>
      <c r="F83" s="50">
        <f t="shared" si="25"/>
        <v>42</v>
      </c>
      <c r="G83" s="50">
        <f t="shared" si="25"/>
        <v>46</v>
      </c>
      <c r="H83" s="50">
        <f t="shared" si="25"/>
        <v>57</v>
      </c>
      <c r="I83" s="50">
        <f t="shared" si="25"/>
        <v>61</v>
      </c>
      <c r="J83" s="50">
        <f t="shared" si="25"/>
        <v>61</v>
      </c>
      <c r="K83" s="50">
        <f t="shared" si="25"/>
        <v>61</v>
      </c>
      <c r="L83" s="50">
        <f t="shared" si="25"/>
        <v>64</v>
      </c>
      <c r="M83" s="50">
        <f t="shared" si="25"/>
        <v>65</v>
      </c>
      <c r="N83" s="50">
        <f t="shared" si="25"/>
        <v>56</v>
      </c>
      <c r="O83" s="50">
        <f t="shared" si="26"/>
        <v>55</v>
      </c>
      <c r="P83" s="50">
        <f t="shared" si="26"/>
        <v>59</v>
      </c>
      <c r="Q83" s="50">
        <f t="shared" si="26"/>
        <v>59</v>
      </c>
      <c r="R83" s="50">
        <f t="shared" si="26"/>
        <v>63</v>
      </c>
      <c r="S83" s="50">
        <f t="shared" si="26"/>
        <v>62</v>
      </c>
      <c r="T83" s="50">
        <f t="shared" si="26"/>
        <v>78</v>
      </c>
      <c r="U83" s="50">
        <f t="shared" si="26"/>
        <v>69</v>
      </c>
      <c r="V83" s="50">
        <f t="shared" si="26"/>
        <v>69</v>
      </c>
      <c r="W83" s="50">
        <f t="shared" si="26"/>
        <v>74</v>
      </c>
    </row>
    <row r="84" spans="1:23" x14ac:dyDescent="0.45">
      <c r="A84" s="12" t="s">
        <v>402</v>
      </c>
      <c r="B84" s="3" t="s">
        <v>1195</v>
      </c>
      <c r="C84" s="12" t="s">
        <v>70</v>
      </c>
      <c r="E84" s="50">
        <f t="shared" si="25"/>
        <v>0</v>
      </c>
      <c r="F84" s="50">
        <f t="shared" si="25"/>
        <v>0</v>
      </c>
      <c r="G84" s="50">
        <f t="shared" si="25"/>
        <v>0</v>
      </c>
      <c r="H84" s="50">
        <f t="shared" si="25"/>
        <v>0</v>
      </c>
      <c r="I84" s="50">
        <f t="shared" si="25"/>
        <v>0</v>
      </c>
      <c r="J84" s="50">
        <f t="shared" si="25"/>
        <v>124</v>
      </c>
      <c r="K84" s="50">
        <f t="shared" si="25"/>
        <v>145</v>
      </c>
      <c r="L84" s="50">
        <f t="shared" si="25"/>
        <v>148</v>
      </c>
      <c r="M84" s="50">
        <f t="shared" si="25"/>
        <v>142</v>
      </c>
      <c r="N84" s="50">
        <f t="shared" si="25"/>
        <v>156</v>
      </c>
      <c r="O84" s="50">
        <f t="shared" si="26"/>
        <v>183</v>
      </c>
      <c r="P84" s="50">
        <f t="shared" si="26"/>
        <v>189</v>
      </c>
      <c r="Q84" s="50">
        <f t="shared" si="26"/>
        <v>195</v>
      </c>
      <c r="R84" s="50">
        <f t="shared" si="26"/>
        <v>204</v>
      </c>
      <c r="S84" s="50">
        <f t="shared" si="26"/>
        <v>244</v>
      </c>
      <c r="T84" s="50">
        <f t="shared" si="26"/>
        <v>255</v>
      </c>
      <c r="U84" s="50">
        <f t="shared" si="26"/>
        <v>247</v>
      </c>
      <c r="V84" s="50">
        <f t="shared" si="26"/>
        <v>261</v>
      </c>
      <c r="W84" s="50">
        <f t="shared" si="26"/>
        <v>302</v>
      </c>
    </row>
    <row r="85" spans="1:23" x14ac:dyDescent="0.45">
      <c r="A85" s="12" t="s">
        <v>1196</v>
      </c>
      <c r="B85" s="3" t="s">
        <v>1197</v>
      </c>
      <c r="C85" s="12" t="s">
        <v>290</v>
      </c>
      <c r="E85" s="52">
        <f t="shared" si="25"/>
        <v>315.48200000000003</v>
      </c>
      <c r="F85" s="52">
        <f t="shared" si="25"/>
        <v>320.68</v>
      </c>
      <c r="G85" s="52">
        <f t="shared" si="25"/>
        <v>326.18099999999998</v>
      </c>
      <c r="H85" s="52">
        <f t="shared" si="25"/>
        <v>334.30799999999999</v>
      </c>
      <c r="I85" s="52">
        <f t="shared" si="25"/>
        <v>342.11900000000003</v>
      </c>
      <c r="J85" s="52">
        <f t="shared" si="25"/>
        <v>347.83</v>
      </c>
      <c r="K85" s="52">
        <f t="shared" si="25"/>
        <v>352.791</v>
      </c>
      <c r="L85" s="52">
        <f t="shared" si="25"/>
        <v>356.14400000000001</v>
      </c>
      <c r="M85" s="52">
        <f t="shared" si="25"/>
        <v>360.25700000000001</v>
      </c>
      <c r="N85" s="52">
        <f t="shared" si="25"/>
        <v>363.79700000000003</v>
      </c>
      <c r="O85" s="52">
        <f t="shared" si="26"/>
        <v>367.17599999999999</v>
      </c>
      <c r="P85" s="52">
        <f t="shared" si="26"/>
        <v>370.44499999999999</v>
      </c>
      <c r="Q85" s="52">
        <f t="shared" si="26"/>
        <v>373.553</v>
      </c>
      <c r="R85" s="52">
        <f t="shared" si="26"/>
        <v>376.96199999999999</v>
      </c>
      <c r="S85" s="52">
        <f t="shared" si="26"/>
        <v>381.339</v>
      </c>
      <c r="T85" s="52">
        <f t="shared" si="26"/>
        <v>384.72300000000001</v>
      </c>
      <c r="U85" s="52">
        <f t="shared" si="26"/>
        <v>388.54599999999999</v>
      </c>
      <c r="V85" s="52">
        <f t="shared" si="26"/>
        <v>391.61</v>
      </c>
      <c r="W85" s="52">
        <f t="shared" si="26"/>
        <v>394.63600000000002</v>
      </c>
    </row>
  </sheetData>
  <pageMargins left="0.75" right="0.75" top="1" bottom="1" header="0.5" footer="0.5"/>
  <pageSetup fitToHeight="0"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J64"/>
  <sheetViews>
    <sheetView showGridLines="0" zoomScale="90" workbookViewId="0">
      <pane xSplit="4" ySplit="6" topLeftCell="E7" activePane="bottomRight" state="frozen"/>
      <selection pane="topRight"/>
      <selection pane="bottomLeft"/>
      <selection pane="bottomRight"/>
    </sheetView>
  </sheetViews>
  <sheetFormatPr defaultRowHeight="14.25" x14ac:dyDescent="0.45"/>
  <cols>
    <col min="1" max="1" width="13" customWidth="1"/>
    <col min="2" max="2" width="50" customWidth="1"/>
    <col min="3" max="3" width="11" customWidth="1"/>
    <col min="4" max="4" width="3" customWidth="1"/>
    <col min="5" max="10" width="11" customWidth="1"/>
  </cols>
  <sheetData>
    <row r="1" spans="1:10" ht="18" x14ac:dyDescent="0.55000000000000004">
      <c r="A1" s="1" t="s">
        <v>1198</v>
      </c>
    </row>
    <row r="2" spans="1:10" x14ac:dyDescent="0.45">
      <c r="A2" s="2" t="s">
        <v>1199</v>
      </c>
    </row>
    <row r="4" spans="1:10" x14ac:dyDescent="0.45">
      <c r="A4" s="12" t="s">
        <v>282</v>
      </c>
      <c r="B4" s="4" t="s">
        <v>97</v>
      </c>
      <c r="C4" s="12"/>
      <c r="E4" s="78">
        <f>YEAR(FirstPeriodEnd)-1</f>
        <v>2020</v>
      </c>
      <c r="F4" s="78">
        <f>E4+1</f>
        <v>2021</v>
      </c>
      <c r="G4" s="78">
        <f>F4+1</f>
        <v>2022</v>
      </c>
      <c r="H4" s="78">
        <f>G4+1</f>
        <v>2023</v>
      </c>
      <c r="I4" s="78">
        <f>H4+1</f>
        <v>2024</v>
      </c>
      <c r="J4" s="78">
        <f>I4+1</f>
        <v>2025</v>
      </c>
    </row>
    <row r="5" spans="1:10" x14ac:dyDescent="0.45">
      <c r="B5" s="3" t="s">
        <v>1140</v>
      </c>
      <c r="C5" s="12" t="s">
        <v>1134</v>
      </c>
      <c r="E5" s="12" t="str">
        <f t="shared" ref="E5:J5" si="0">"FY-"&amp;E$4</f>
        <v>FY-2020</v>
      </c>
      <c r="F5" s="12" t="str">
        <f t="shared" si="0"/>
        <v>FY-2021</v>
      </c>
      <c r="G5" s="12" t="str">
        <f t="shared" si="0"/>
        <v>FY-2022</v>
      </c>
      <c r="H5" s="12" t="str">
        <f t="shared" si="0"/>
        <v>FY-2023</v>
      </c>
      <c r="I5" s="12" t="str">
        <f t="shared" si="0"/>
        <v>FY-2024</v>
      </c>
      <c r="J5" s="12" t="str">
        <f t="shared" si="0"/>
        <v>FY-2025</v>
      </c>
    </row>
    <row r="6" spans="1:10" x14ac:dyDescent="0.45">
      <c r="B6" s="3" t="s">
        <v>1200</v>
      </c>
      <c r="C6" s="12" t="s">
        <v>1134</v>
      </c>
      <c r="E6" s="12" t="str">
        <f t="shared" ref="E6:J6" si="1">"EOP-"&amp;E$4&amp;"-12-31"</f>
        <v>EOP-2020-12-31</v>
      </c>
      <c r="F6" s="12" t="str">
        <f t="shared" si="1"/>
        <v>EOP-2021-12-31</v>
      </c>
      <c r="G6" s="12" t="str">
        <f t="shared" si="1"/>
        <v>EOP-2022-12-31</v>
      </c>
      <c r="H6" s="12" t="str">
        <f t="shared" si="1"/>
        <v>EOP-2023-12-31</v>
      </c>
      <c r="I6" s="12" t="str">
        <f t="shared" si="1"/>
        <v>EOP-2024-12-31</v>
      </c>
      <c r="J6" s="12" t="str">
        <f t="shared" si="1"/>
        <v>EOP-2025-12-31</v>
      </c>
    </row>
    <row r="8" spans="1:10" x14ac:dyDescent="0.45">
      <c r="A8" s="21"/>
      <c r="B8" s="22" t="s">
        <v>702</v>
      </c>
      <c r="C8" s="21"/>
      <c r="D8" s="21"/>
      <c r="E8" s="21"/>
      <c r="F8" s="21"/>
      <c r="G8" s="21"/>
      <c r="H8" s="21"/>
      <c r="I8" s="21"/>
      <c r="J8" s="21"/>
    </row>
    <row r="9" spans="1:10" x14ac:dyDescent="0.45">
      <c r="A9" s="12" t="s">
        <v>350</v>
      </c>
      <c r="B9" s="3" t="s">
        <v>351</v>
      </c>
      <c r="C9" s="12" t="s">
        <v>70</v>
      </c>
      <c r="E9" s="50">
        <f t="shared" ref="E9:J18" si="2">SUMIFS(Src_Val,Src_Key,$A9,Src_PK,E$5)</f>
        <v>101</v>
      </c>
      <c r="F9" s="50">
        <f t="shared" si="2"/>
        <v>169</v>
      </c>
      <c r="G9" s="50">
        <f t="shared" si="2"/>
        <v>324</v>
      </c>
      <c r="H9" s="50">
        <f t="shared" si="2"/>
        <v>500</v>
      </c>
      <c r="I9" s="50">
        <f t="shared" si="2"/>
        <v>706</v>
      </c>
      <c r="J9" s="50">
        <f t="shared" si="2"/>
        <v>936</v>
      </c>
    </row>
    <row r="10" spans="1:10" x14ac:dyDescent="0.45">
      <c r="A10" s="12" t="s">
        <v>369</v>
      </c>
      <c r="B10" s="3" t="s">
        <v>370</v>
      </c>
      <c r="C10" s="12" t="s">
        <v>70</v>
      </c>
      <c r="E10" s="50">
        <f t="shared" si="2"/>
        <v>644</v>
      </c>
      <c r="F10" s="50">
        <f t="shared" si="2"/>
        <v>1406</v>
      </c>
      <c r="G10" s="50">
        <f t="shared" si="2"/>
        <v>2268</v>
      </c>
      <c r="H10" s="50">
        <f t="shared" si="2"/>
        <v>3189</v>
      </c>
      <c r="I10" s="50">
        <f t="shared" si="2"/>
        <v>4053</v>
      </c>
      <c r="J10" s="50">
        <f t="shared" si="2"/>
        <v>5037</v>
      </c>
    </row>
    <row r="11" spans="1:10" x14ac:dyDescent="0.45">
      <c r="A11" s="12" t="s">
        <v>384</v>
      </c>
      <c r="B11" s="3" t="s">
        <v>69</v>
      </c>
      <c r="C11" s="12" t="s">
        <v>70</v>
      </c>
      <c r="E11" s="50">
        <f t="shared" si="2"/>
        <v>823</v>
      </c>
      <c r="F11" s="50">
        <f t="shared" si="2"/>
        <v>1705</v>
      </c>
      <c r="G11" s="50">
        <f t="shared" si="2"/>
        <v>2731</v>
      </c>
      <c r="H11" s="50">
        <f t="shared" si="2"/>
        <v>3865</v>
      </c>
      <c r="I11" s="50">
        <f t="shared" si="2"/>
        <v>4960</v>
      </c>
      <c r="J11" s="50">
        <f t="shared" si="2"/>
        <v>6153</v>
      </c>
    </row>
    <row r="12" spans="1:10" x14ac:dyDescent="0.45">
      <c r="A12" s="12" t="s">
        <v>392</v>
      </c>
      <c r="B12" s="3" t="s">
        <v>393</v>
      </c>
      <c r="C12" s="12" t="s">
        <v>70</v>
      </c>
      <c r="E12" s="50">
        <f t="shared" si="2"/>
        <v>40</v>
      </c>
      <c r="F12" s="50">
        <f t="shared" si="2"/>
        <v>63</v>
      </c>
      <c r="G12" s="50">
        <f t="shared" si="2"/>
        <v>112</v>
      </c>
      <c r="H12" s="50">
        <f t="shared" si="2"/>
        <v>166</v>
      </c>
      <c r="I12" s="50">
        <f t="shared" si="2"/>
        <v>219</v>
      </c>
      <c r="J12" s="50">
        <f t="shared" si="2"/>
        <v>264</v>
      </c>
    </row>
    <row r="13" spans="1:10" x14ac:dyDescent="0.45">
      <c r="A13" s="12" t="s">
        <v>395</v>
      </c>
      <c r="B13" s="3" t="s">
        <v>1146</v>
      </c>
      <c r="C13" s="12" t="s">
        <v>70</v>
      </c>
      <c r="E13" s="50">
        <f t="shared" si="2"/>
        <v>509</v>
      </c>
      <c r="F13" s="50">
        <f t="shared" si="2"/>
        <v>1120</v>
      </c>
      <c r="G13" s="50">
        <f t="shared" si="2"/>
        <v>1792</v>
      </c>
      <c r="H13" s="50">
        <f t="shared" si="2"/>
        <v>2503</v>
      </c>
      <c r="I13" s="50">
        <f t="shared" si="2"/>
        <v>3175</v>
      </c>
      <c r="J13" s="50">
        <f t="shared" si="2"/>
        <v>3891</v>
      </c>
    </row>
    <row r="14" spans="1:10" x14ac:dyDescent="0.45">
      <c r="A14" s="12" t="s">
        <v>417</v>
      </c>
      <c r="B14" s="3" t="s">
        <v>1147</v>
      </c>
      <c r="C14" s="12" t="s">
        <v>70</v>
      </c>
      <c r="E14" s="50">
        <f t="shared" si="2"/>
        <v>4</v>
      </c>
      <c r="F14" s="50">
        <f t="shared" si="2"/>
        <v>4</v>
      </c>
      <c r="G14" s="50">
        <f t="shared" si="2"/>
        <v>5</v>
      </c>
      <c r="H14" s="50">
        <f t="shared" si="2"/>
        <v>5</v>
      </c>
      <c r="I14" s="50">
        <f t="shared" si="2"/>
        <v>5</v>
      </c>
      <c r="J14" s="50">
        <f t="shared" si="2"/>
        <v>5</v>
      </c>
    </row>
    <row r="15" spans="1:10" x14ac:dyDescent="0.45">
      <c r="A15" s="12" t="s">
        <v>443</v>
      </c>
      <c r="B15" s="3" t="s">
        <v>444</v>
      </c>
      <c r="C15" s="12" t="s">
        <v>70</v>
      </c>
      <c r="E15" s="50">
        <f t="shared" si="2"/>
        <v>683</v>
      </c>
      <c r="F15" s="50">
        <f t="shared" si="2"/>
        <v>1391</v>
      </c>
      <c r="G15" s="50">
        <f t="shared" si="2"/>
        <v>2220</v>
      </c>
      <c r="H15" s="50">
        <f t="shared" si="2"/>
        <v>3031</v>
      </c>
      <c r="I15" s="50">
        <f t="shared" si="2"/>
        <v>3770</v>
      </c>
      <c r="J15" s="50">
        <f t="shared" si="2"/>
        <v>4560</v>
      </c>
    </row>
    <row r="16" spans="1:10" x14ac:dyDescent="0.45">
      <c r="A16" s="12" t="s">
        <v>445</v>
      </c>
      <c r="B16" s="3" t="s">
        <v>446</v>
      </c>
      <c r="C16" s="12" t="s">
        <v>70</v>
      </c>
      <c r="E16" s="50">
        <f t="shared" si="2"/>
        <v>140</v>
      </c>
      <c r="F16" s="50">
        <f t="shared" si="2"/>
        <v>314</v>
      </c>
      <c r="G16" s="50">
        <f t="shared" si="2"/>
        <v>511</v>
      </c>
      <c r="H16" s="50">
        <f t="shared" si="2"/>
        <v>834</v>
      </c>
      <c r="I16" s="50">
        <f t="shared" si="2"/>
        <v>1190</v>
      </c>
      <c r="J16" s="50">
        <f t="shared" si="2"/>
        <v>1593</v>
      </c>
    </row>
    <row r="17" spans="1:10" x14ac:dyDescent="0.45">
      <c r="A17" s="12" t="s">
        <v>450</v>
      </c>
      <c r="B17" s="3" t="s">
        <v>451</v>
      </c>
      <c r="C17" s="12" t="s">
        <v>70</v>
      </c>
      <c r="E17" s="50">
        <f t="shared" si="2"/>
        <v>138</v>
      </c>
      <c r="F17" s="50">
        <f t="shared" si="2"/>
        <v>190</v>
      </c>
      <c r="G17" s="50">
        <f t="shared" si="2"/>
        <v>319</v>
      </c>
      <c r="H17" s="50">
        <f t="shared" si="2"/>
        <v>401</v>
      </c>
      <c r="I17" s="50">
        <f t="shared" si="2"/>
        <v>470</v>
      </c>
      <c r="J17" s="50">
        <f t="shared" si="2"/>
        <v>571</v>
      </c>
    </row>
    <row r="18" spans="1:10" x14ac:dyDescent="0.45">
      <c r="A18" s="12" t="s">
        <v>452</v>
      </c>
      <c r="B18" s="3" t="s">
        <v>453</v>
      </c>
      <c r="C18" s="12" t="s">
        <v>70</v>
      </c>
      <c r="E18" s="50">
        <f t="shared" si="2"/>
        <v>109</v>
      </c>
      <c r="F18" s="50">
        <f t="shared" si="2"/>
        <v>163</v>
      </c>
      <c r="G18" s="50">
        <f t="shared" si="2"/>
        <v>282</v>
      </c>
      <c r="H18" s="50">
        <f t="shared" si="2"/>
        <v>358</v>
      </c>
      <c r="I18" s="50">
        <f t="shared" si="2"/>
        <v>351</v>
      </c>
      <c r="J18" s="50">
        <f t="shared" si="2"/>
        <v>374</v>
      </c>
    </row>
    <row r="19" spans="1:10" x14ac:dyDescent="0.45">
      <c r="A19" s="12" t="s">
        <v>454</v>
      </c>
      <c r="B19" s="3" t="s">
        <v>455</v>
      </c>
      <c r="C19" s="12" t="s">
        <v>70</v>
      </c>
      <c r="E19" s="50">
        <f t="shared" ref="E19:J26" si="3">SUMIFS(Src_Val,Src_Key,$A19,Src_PK,E$5)</f>
        <v>113</v>
      </c>
      <c r="F19" s="50">
        <f t="shared" si="3"/>
        <v>189</v>
      </c>
      <c r="G19" s="50">
        <f t="shared" si="3"/>
        <v>294</v>
      </c>
      <c r="H19" s="50">
        <f t="shared" si="3"/>
        <v>362</v>
      </c>
      <c r="I19" s="50">
        <f t="shared" si="3"/>
        <v>307</v>
      </c>
      <c r="J19" s="50">
        <f t="shared" si="3"/>
        <v>344</v>
      </c>
    </row>
    <row r="20" spans="1:10" x14ac:dyDescent="0.45">
      <c r="A20" s="12" t="s">
        <v>456</v>
      </c>
      <c r="B20" s="3" t="s">
        <v>457</v>
      </c>
      <c r="C20" s="12" t="s">
        <v>70</v>
      </c>
      <c r="E20" s="50">
        <f t="shared" si="3"/>
        <v>0</v>
      </c>
      <c r="F20" s="50">
        <f t="shared" si="3"/>
        <v>0</v>
      </c>
      <c r="G20" s="50">
        <f t="shared" si="3"/>
        <v>0</v>
      </c>
      <c r="H20" s="50">
        <f t="shared" si="3"/>
        <v>0</v>
      </c>
      <c r="I20" s="50">
        <f t="shared" si="3"/>
        <v>46</v>
      </c>
      <c r="J20" s="50">
        <f t="shared" si="3"/>
        <v>12</v>
      </c>
    </row>
    <row r="21" spans="1:10" x14ac:dyDescent="0.45">
      <c r="A21" s="12" t="s">
        <v>458</v>
      </c>
      <c r="B21" s="3" t="s">
        <v>459</v>
      </c>
      <c r="C21" s="12" t="s">
        <v>70</v>
      </c>
      <c r="E21" s="50">
        <f t="shared" si="3"/>
        <v>360</v>
      </c>
      <c r="F21" s="50">
        <f t="shared" si="3"/>
        <v>542</v>
      </c>
      <c r="G21" s="50">
        <f t="shared" si="3"/>
        <v>895</v>
      </c>
      <c r="H21" s="50">
        <f t="shared" si="3"/>
        <v>1121</v>
      </c>
      <c r="I21" s="50">
        <f t="shared" si="3"/>
        <v>1174</v>
      </c>
      <c r="J21" s="50">
        <f t="shared" si="3"/>
        <v>1301</v>
      </c>
    </row>
    <row r="22" spans="1:10" x14ac:dyDescent="0.45">
      <c r="A22" s="12" t="s">
        <v>462</v>
      </c>
      <c r="B22" s="3" t="s">
        <v>463</v>
      </c>
      <c r="C22" s="12" t="s">
        <v>70</v>
      </c>
      <c r="E22" s="50">
        <f t="shared" si="3"/>
        <v>-220</v>
      </c>
      <c r="F22" s="50">
        <f t="shared" si="3"/>
        <v>-228</v>
      </c>
      <c r="G22" s="50">
        <f t="shared" si="3"/>
        <v>-384</v>
      </c>
      <c r="H22" s="50">
        <f t="shared" si="3"/>
        <v>-287</v>
      </c>
      <c r="I22" s="50">
        <f t="shared" si="3"/>
        <v>16</v>
      </c>
      <c r="J22" s="50">
        <f t="shared" si="3"/>
        <v>292</v>
      </c>
    </row>
    <row r="23" spans="1:10" x14ac:dyDescent="0.45">
      <c r="A23" s="12" t="s">
        <v>466</v>
      </c>
      <c r="B23" s="3" t="s">
        <v>1148</v>
      </c>
      <c r="C23" s="12" t="s">
        <v>70</v>
      </c>
      <c r="E23" s="50">
        <f t="shared" si="3"/>
        <v>-12</v>
      </c>
      <c r="F23" s="50">
        <f t="shared" si="3"/>
        <v>-12</v>
      </c>
      <c r="G23" s="50">
        <f t="shared" si="3"/>
        <v>11</v>
      </c>
      <c r="H23" s="50">
        <f t="shared" si="3"/>
        <v>37</v>
      </c>
      <c r="I23" s="50">
        <f t="shared" si="3"/>
        <v>42</v>
      </c>
      <c r="J23" s="50">
        <f t="shared" si="3"/>
        <v>51</v>
      </c>
    </row>
    <row r="24" spans="1:10" x14ac:dyDescent="0.45">
      <c r="A24" s="12" t="s">
        <v>470</v>
      </c>
      <c r="B24" s="3" t="s">
        <v>1149</v>
      </c>
      <c r="C24" s="12" t="s">
        <v>70</v>
      </c>
      <c r="E24" s="50">
        <f t="shared" si="3"/>
        <v>-248</v>
      </c>
      <c r="F24" s="50">
        <f t="shared" si="3"/>
        <v>-490</v>
      </c>
      <c r="G24" s="50">
        <f t="shared" si="3"/>
        <v>-277</v>
      </c>
      <c r="H24" s="50">
        <f t="shared" si="3"/>
        <v>-244</v>
      </c>
      <c r="I24" s="50">
        <f t="shared" si="3"/>
        <v>22</v>
      </c>
      <c r="J24" s="50">
        <f t="shared" si="3"/>
        <v>346</v>
      </c>
    </row>
    <row r="25" spans="1:10" x14ac:dyDescent="0.45">
      <c r="A25" s="12" t="s">
        <v>472</v>
      </c>
      <c r="B25" s="3" t="s">
        <v>473</v>
      </c>
      <c r="C25" s="12" t="s">
        <v>70</v>
      </c>
      <c r="E25" s="50">
        <f t="shared" si="3"/>
        <v>0</v>
      </c>
      <c r="F25" s="50">
        <f t="shared" si="3"/>
        <v>-3</v>
      </c>
      <c r="G25" s="50">
        <f t="shared" si="3"/>
        <v>-2</v>
      </c>
      <c r="H25" s="50">
        <f t="shared" si="3"/>
        <v>2</v>
      </c>
      <c r="I25" s="50">
        <f t="shared" si="3"/>
        <v>3</v>
      </c>
      <c r="J25" s="50">
        <f t="shared" si="3"/>
        <v>4</v>
      </c>
    </row>
    <row r="26" spans="1:10" x14ac:dyDescent="0.45">
      <c r="A26" s="12" t="s">
        <v>474</v>
      </c>
      <c r="B26" s="3" t="s">
        <v>475</v>
      </c>
      <c r="C26" s="12" t="s">
        <v>70</v>
      </c>
      <c r="E26" s="50">
        <f t="shared" si="3"/>
        <v>-248</v>
      </c>
      <c r="F26" s="50">
        <f t="shared" si="3"/>
        <v>-487</v>
      </c>
      <c r="G26" s="50">
        <f t="shared" si="3"/>
        <v>-275</v>
      </c>
      <c r="H26" s="50">
        <f t="shared" si="3"/>
        <v>-246</v>
      </c>
      <c r="I26" s="50">
        <f t="shared" si="3"/>
        <v>19</v>
      </c>
      <c r="J26" s="50">
        <f t="shared" si="3"/>
        <v>342</v>
      </c>
    </row>
    <row r="27" spans="1:10" x14ac:dyDescent="0.45">
      <c r="A27" s="21"/>
      <c r="B27" s="22" t="s">
        <v>717</v>
      </c>
      <c r="C27" s="21"/>
      <c r="D27" s="21"/>
      <c r="E27" s="21"/>
      <c r="F27" s="21"/>
      <c r="G27" s="21"/>
      <c r="H27" s="21"/>
      <c r="I27" s="21"/>
      <c r="J27" s="21"/>
    </row>
    <row r="28" spans="1:10" x14ac:dyDescent="0.45">
      <c r="A28" s="12" t="s">
        <v>501</v>
      </c>
      <c r="B28" s="3" t="s">
        <v>502</v>
      </c>
      <c r="C28" s="12" t="s">
        <v>70</v>
      </c>
      <c r="E28" s="50">
        <f t="shared" ref="E28:J35" si="4">SUMIFS(Src_Val,Src_Key,$A28,Src_PK,E$5)</f>
        <v>27</v>
      </c>
      <c r="F28" s="50">
        <f t="shared" si="4"/>
        <v>21</v>
      </c>
      <c r="G28" s="50">
        <f t="shared" si="4"/>
        <v>24</v>
      </c>
      <c r="H28" s="50">
        <f t="shared" si="4"/>
        <v>32</v>
      </c>
      <c r="I28" s="50">
        <f t="shared" si="4"/>
        <v>46</v>
      </c>
      <c r="J28" s="50">
        <f t="shared" si="4"/>
        <v>64</v>
      </c>
    </row>
    <row r="29" spans="1:10" x14ac:dyDescent="0.45">
      <c r="A29" s="12" t="s">
        <v>503</v>
      </c>
      <c r="B29" s="3" t="s">
        <v>504</v>
      </c>
      <c r="C29" s="12" t="s">
        <v>70</v>
      </c>
      <c r="E29" s="50">
        <f t="shared" si="4"/>
        <v>86</v>
      </c>
      <c r="F29" s="50">
        <f t="shared" si="4"/>
        <v>140</v>
      </c>
      <c r="G29" s="50">
        <f t="shared" si="4"/>
        <v>228</v>
      </c>
      <c r="H29" s="50">
        <f t="shared" si="4"/>
        <v>277</v>
      </c>
      <c r="I29" s="50">
        <f t="shared" si="4"/>
        <v>253</v>
      </c>
      <c r="J29" s="50">
        <f t="shared" si="4"/>
        <v>242</v>
      </c>
    </row>
    <row r="30" spans="1:10" x14ac:dyDescent="0.45">
      <c r="A30" s="12" t="s">
        <v>577</v>
      </c>
      <c r="B30" s="3" t="s">
        <v>578</v>
      </c>
      <c r="C30" s="12" t="s">
        <v>70</v>
      </c>
      <c r="E30" s="50">
        <f t="shared" si="4"/>
        <v>-125</v>
      </c>
      <c r="F30" s="50">
        <f t="shared" si="4"/>
        <v>2</v>
      </c>
      <c r="G30" s="50">
        <f t="shared" si="4"/>
        <v>-156</v>
      </c>
      <c r="H30" s="50">
        <f t="shared" si="4"/>
        <v>135</v>
      </c>
      <c r="I30" s="50">
        <f t="shared" si="4"/>
        <v>360</v>
      </c>
      <c r="J30" s="50">
        <f t="shared" si="4"/>
        <v>661</v>
      </c>
    </row>
    <row r="31" spans="1:10" x14ac:dyDescent="0.45">
      <c r="A31" s="12" t="s">
        <v>580</v>
      </c>
      <c r="B31" s="3" t="s">
        <v>1154</v>
      </c>
      <c r="C31" s="12" t="s">
        <v>70</v>
      </c>
      <c r="E31" s="50">
        <f t="shared" si="4"/>
        <v>36</v>
      </c>
      <c r="F31" s="50">
        <f t="shared" si="4"/>
        <v>19</v>
      </c>
      <c r="G31" s="50">
        <f t="shared" si="4"/>
        <v>33</v>
      </c>
      <c r="H31" s="50">
        <f t="shared" si="4"/>
        <v>42</v>
      </c>
      <c r="I31" s="50">
        <f t="shared" si="4"/>
        <v>54</v>
      </c>
      <c r="J31" s="50">
        <f t="shared" si="4"/>
        <v>53</v>
      </c>
    </row>
    <row r="32" spans="1:10" x14ac:dyDescent="0.45">
      <c r="A32" s="12" t="s">
        <v>584</v>
      </c>
      <c r="B32" s="3" t="s">
        <v>585</v>
      </c>
      <c r="C32" s="12" t="s">
        <v>70</v>
      </c>
      <c r="E32" s="50">
        <f t="shared" si="4"/>
        <v>-36</v>
      </c>
      <c r="F32" s="50">
        <f t="shared" si="4"/>
        <v>-503</v>
      </c>
      <c r="G32" s="50">
        <f t="shared" si="4"/>
        <v>-98</v>
      </c>
      <c r="H32" s="50">
        <f t="shared" si="4"/>
        <v>-86</v>
      </c>
      <c r="I32" s="50">
        <f t="shared" si="4"/>
        <v>-39</v>
      </c>
      <c r="J32" s="50">
        <f t="shared" si="4"/>
        <v>-172</v>
      </c>
    </row>
    <row r="33" spans="1:10" x14ac:dyDescent="0.45">
      <c r="A33" s="12" t="s">
        <v>1155</v>
      </c>
      <c r="B33" s="3" t="s">
        <v>1156</v>
      </c>
      <c r="C33" s="12" t="s">
        <v>70</v>
      </c>
      <c r="E33" s="50">
        <f t="shared" si="4"/>
        <v>0</v>
      </c>
      <c r="F33" s="50">
        <f t="shared" si="4"/>
        <v>0</v>
      </c>
      <c r="G33" s="50">
        <f t="shared" si="4"/>
        <v>0</v>
      </c>
      <c r="H33" s="50">
        <f t="shared" si="4"/>
        <v>0</v>
      </c>
      <c r="I33" s="50">
        <f t="shared" si="4"/>
        <v>56</v>
      </c>
      <c r="J33" s="50">
        <f t="shared" si="4"/>
        <v>107</v>
      </c>
    </row>
    <row r="34" spans="1:10" x14ac:dyDescent="0.45">
      <c r="A34" s="12" t="s">
        <v>591</v>
      </c>
      <c r="B34" s="3" t="s">
        <v>592</v>
      </c>
      <c r="C34" s="12" t="s">
        <v>70</v>
      </c>
      <c r="E34" s="50">
        <f t="shared" si="4"/>
        <v>594</v>
      </c>
      <c r="F34" s="50">
        <f t="shared" si="4"/>
        <v>759</v>
      </c>
      <c r="G34" s="50">
        <f t="shared" si="4"/>
        <v>38</v>
      </c>
      <c r="H34" s="50">
        <f t="shared" si="4"/>
        <v>63</v>
      </c>
      <c r="I34" s="50">
        <f t="shared" si="4"/>
        <v>18</v>
      </c>
      <c r="J34" s="50">
        <f t="shared" si="4"/>
        <v>7</v>
      </c>
    </row>
    <row r="35" spans="1:10" x14ac:dyDescent="0.45">
      <c r="A35" s="12" t="s">
        <v>593</v>
      </c>
      <c r="B35" s="3" t="s">
        <v>1157</v>
      </c>
      <c r="C35" s="12" t="s">
        <v>70</v>
      </c>
      <c r="E35" s="50">
        <f t="shared" si="4"/>
        <v>2</v>
      </c>
      <c r="F35" s="50">
        <f t="shared" si="4"/>
        <v>-1</v>
      </c>
      <c r="G35" s="50">
        <f t="shared" si="4"/>
        <v>0</v>
      </c>
      <c r="H35" s="50">
        <f t="shared" si="4"/>
        <v>0</v>
      </c>
      <c r="I35" s="50">
        <f t="shared" si="4"/>
        <v>-1</v>
      </c>
      <c r="J35" s="50">
        <f t="shared" si="4"/>
        <v>2</v>
      </c>
    </row>
    <row r="36" spans="1:10" x14ac:dyDescent="0.45">
      <c r="A36" s="21"/>
      <c r="B36" s="22" t="s">
        <v>1201</v>
      </c>
      <c r="C36" s="21"/>
      <c r="D36" s="21"/>
      <c r="E36" s="21"/>
      <c r="F36" s="21"/>
      <c r="G36" s="21"/>
      <c r="H36" s="21"/>
      <c r="I36" s="21"/>
      <c r="J36" s="21"/>
    </row>
    <row r="37" spans="1:10" x14ac:dyDescent="0.45">
      <c r="A37" s="12" t="s">
        <v>1159</v>
      </c>
      <c r="B37" s="3" t="s">
        <v>1160</v>
      </c>
      <c r="C37" s="12" t="s">
        <v>70</v>
      </c>
      <c r="E37" s="50">
        <f t="shared" ref="E37:J46" si="5">SUMIFS(Src_Val,Src_Key,$A37,Src_PK,E$6)</f>
        <v>594</v>
      </c>
      <c r="F37" s="50">
        <f t="shared" si="5"/>
        <v>851</v>
      </c>
      <c r="G37" s="50">
        <f t="shared" si="5"/>
        <v>635</v>
      </c>
      <c r="H37" s="50">
        <f t="shared" si="5"/>
        <v>747</v>
      </c>
      <c r="I37" s="50">
        <f t="shared" si="5"/>
        <v>1085</v>
      </c>
      <c r="J37" s="50">
        <f t="shared" si="5"/>
        <v>1583</v>
      </c>
    </row>
    <row r="38" spans="1:10" x14ac:dyDescent="0.45">
      <c r="A38" s="12" t="s">
        <v>521</v>
      </c>
      <c r="B38" s="3" t="s">
        <v>522</v>
      </c>
      <c r="C38" s="12" t="s">
        <v>70</v>
      </c>
      <c r="E38" s="50">
        <f t="shared" si="5"/>
        <v>582</v>
      </c>
      <c r="F38" s="50">
        <f t="shared" si="5"/>
        <v>809</v>
      </c>
      <c r="G38" s="50">
        <f t="shared" si="5"/>
        <v>547</v>
      </c>
      <c r="H38" s="50">
        <f t="shared" si="5"/>
        <v>605</v>
      </c>
      <c r="I38" s="50">
        <f t="shared" si="5"/>
        <v>903</v>
      </c>
      <c r="J38" s="50">
        <f t="shared" si="5"/>
        <v>1353</v>
      </c>
    </row>
    <row r="39" spans="1:10" x14ac:dyDescent="0.45">
      <c r="A39" s="12" t="s">
        <v>1161</v>
      </c>
      <c r="B39" s="3" t="s">
        <v>524</v>
      </c>
      <c r="C39" s="12" t="s">
        <v>70</v>
      </c>
      <c r="E39" s="50">
        <f t="shared" si="5"/>
        <v>0</v>
      </c>
      <c r="F39" s="50">
        <f t="shared" si="5"/>
        <v>457</v>
      </c>
      <c r="G39" s="50">
        <f t="shared" si="5"/>
        <v>474</v>
      </c>
      <c r="H39" s="50">
        <f t="shared" si="5"/>
        <v>519</v>
      </c>
      <c r="I39" s="50">
        <f t="shared" si="5"/>
        <v>514</v>
      </c>
      <c r="J39" s="50">
        <f t="shared" si="5"/>
        <v>638</v>
      </c>
    </row>
    <row r="40" spans="1:10" x14ac:dyDescent="0.45">
      <c r="A40" s="12" t="s">
        <v>525</v>
      </c>
      <c r="B40" s="3" t="s">
        <v>526</v>
      </c>
      <c r="C40" s="12" t="s">
        <v>70</v>
      </c>
      <c r="E40" s="50">
        <f t="shared" si="5"/>
        <v>33</v>
      </c>
      <c r="F40" s="50">
        <f t="shared" si="5"/>
        <v>55</v>
      </c>
      <c r="G40" s="50">
        <f t="shared" si="5"/>
        <v>77</v>
      </c>
      <c r="H40" s="50">
        <f t="shared" si="5"/>
        <v>69</v>
      </c>
      <c r="I40" s="50">
        <f t="shared" si="5"/>
        <v>115</v>
      </c>
      <c r="J40" s="50">
        <f t="shared" si="5"/>
        <v>127</v>
      </c>
    </row>
    <row r="41" spans="1:10" x14ac:dyDescent="0.45">
      <c r="A41" s="12" t="s">
        <v>527</v>
      </c>
      <c r="B41" s="3" t="s">
        <v>528</v>
      </c>
      <c r="C41" s="12" t="s">
        <v>70</v>
      </c>
      <c r="E41" s="50">
        <f t="shared" si="5"/>
        <v>19</v>
      </c>
      <c r="F41" s="50">
        <f t="shared" si="5"/>
        <v>42</v>
      </c>
      <c r="G41" s="50">
        <f t="shared" si="5"/>
        <v>110</v>
      </c>
      <c r="H41" s="50">
        <f t="shared" si="5"/>
        <v>118</v>
      </c>
      <c r="I41" s="50">
        <f t="shared" si="5"/>
        <v>118</v>
      </c>
      <c r="J41" s="50">
        <f t="shared" si="5"/>
        <v>114</v>
      </c>
    </row>
    <row r="42" spans="1:10" x14ac:dyDescent="0.45">
      <c r="A42" s="12" t="s">
        <v>529</v>
      </c>
      <c r="B42" s="3" t="s">
        <v>1162</v>
      </c>
      <c r="C42" s="12" t="s">
        <v>70</v>
      </c>
      <c r="E42" s="50">
        <f t="shared" si="5"/>
        <v>11</v>
      </c>
      <c r="F42" s="50">
        <f t="shared" si="5"/>
        <v>34</v>
      </c>
      <c r="G42" s="50">
        <f t="shared" si="5"/>
        <v>60</v>
      </c>
      <c r="H42" s="50">
        <f t="shared" si="5"/>
        <v>87</v>
      </c>
      <c r="I42" s="50">
        <f t="shared" si="5"/>
        <v>123</v>
      </c>
      <c r="J42" s="50">
        <f t="shared" si="5"/>
        <v>159</v>
      </c>
    </row>
    <row r="43" spans="1:10" x14ac:dyDescent="0.45">
      <c r="A43" s="12" t="s">
        <v>1163</v>
      </c>
      <c r="B43" s="3" t="s">
        <v>534</v>
      </c>
      <c r="C43" s="12" t="s">
        <v>70</v>
      </c>
      <c r="E43" s="50">
        <f t="shared" si="5"/>
        <v>673</v>
      </c>
      <c r="F43" s="50">
        <f t="shared" si="5"/>
        <v>1485</v>
      </c>
      <c r="G43" s="50">
        <f t="shared" si="5"/>
        <v>1407</v>
      </c>
      <c r="H43" s="50">
        <f t="shared" si="5"/>
        <v>1570</v>
      </c>
      <c r="I43" s="50">
        <f t="shared" si="5"/>
        <v>1975</v>
      </c>
      <c r="J43" s="50">
        <f t="shared" si="5"/>
        <v>2669</v>
      </c>
    </row>
    <row r="44" spans="1:10" x14ac:dyDescent="0.45">
      <c r="A44" s="12" t="s">
        <v>535</v>
      </c>
      <c r="B44" s="3" t="s">
        <v>536</v>
      </c>
      <c r="C44" s="12" t="s">
        <v>70</v>
      </c>
      <c r="E44" s="50">
        <f t="shared" si="5"/>
        <v>44</v>
      </c>
      <c r="F44" s="50">
        <f t="shared" si="5"/>
        <v>41</v>
      </c>
      <c r="G44" s="50">
        <f t="shared" si="5"/>
        <v>61</v>
      </c>
      <c r="H44" s="50">
        <f t="shared" si="5"/>
        <v>75</v>
      </c>
      <c r="I44" s="50">
        <f t="shared" si="5"/>
        <v>98</v>
      </c>
      <c r="J44" s="50">
        <f t="shared" si="5"/>
        <v>132</v>
      </c>
    </row>
    <row r="45" spans="1:10" x14ac:dyDescent="0.45">
      <c r="A45" s="12" t="s">
        <v>1164</v>
      </c>
      <c r="B45" s="3" t="s">
        <v>1165</v>
      </c>
      <c r="C45" s="12" t="s">
        <v>70</v>
      </c>
      <c r="E45" s="50">
        <f t="shared" si="5"/>
        <v>7</v>
      </c>
      <c r="F45" s="50">
        <f t="shared" si="5"/>
        <v>16</v>
      </c>
      <c r="G45" s="50">
        <f t="shared" si="5"/>
        <v>29</v>
      </c>
      <c r="H45" s="50">
        <f t="shared" si="5"/>
        <v>26</v>
      </c>
      <c r="I45" s="50">
        <f t="shared" si="5"/>
        <v>20</v>
      </c>
      <c r="J45" s="50">
        <f t="shared" si="5"/>
        <v>14</v>
      </c>
    </row>
    <row r="46" spans="1:10" x14ac:dyDescent="0.45">
      <c r="A46" s="12" t="s">
        <v>1166</v>
      </c>
      <c r="B46" s="3" t="s">
        <v>1167</v>
      </c>
      <c r="C46" s="12" t="s">
        <v>70</v>
      </c>
      <c r="E46" s="50">
        <f t="shared" si="5"/>
        <v>36</v>
      </c>
      <c r="F46" s="50">
        <f t="shared" si="5"/>
        <v>74</v>
      </c>
      <c r="G46" s="50">
        <f t="shared" si="5"/>
        <v>107</v>
      </c>
      <c r="H46" s="50">
        <f t="shared" si="5"/>
        <v>113</v>
      </c>
      <c r="I46" s="50">
        <f t="shared" si="5"/>
        <v>113</v>
      </c>
      <c r="J46" s="50">
        <f t="shared" si="5"/>
        <v>113</v>
      </c>
    </row>
    <row r="47" spans="1:10" x14ac:dyDescent="0.45">
      <c r="A47" s="12" t="s">
        <v>539</v>
      </c>
      <c r="B47" s="3" t="s">
        <v>1168</v>
      </c>
      <c r="C47" s="12" t="s">
        <v>70</v>
      </c>
      <c r="E47" s="50">
        <f t="shared" ref="E47:J56" si="6">SUMIFS(Src_Val,Src_Key,$A47,Src_PK,E$6)</f>
        <v>1</v>
      </c>
      <c r="F47" s="50">
        <f t="shared" si="6"/>
        <v>8</v>
      </c>
      <c r="G47" s="50">
        <f t="shared" si="6"/>
        <v>28</v>
      </c>
      <c r="H47" s="50">
        <f t="shared" si="6"/>
        <v>55</v>
      </c>
      <c r="I47" s="50">
        <f t="shared" si="6"/>
        <v>59</v>
      </c>
      <c r="J47" s="50">
        <f t="shared" si="6"/>
        <v>71</v>
      </c>
    </row>
    <row r="48" spans="1:10" x14ac:dyDescent="0.45">
      <c r="A48" s="12" t="s">
        <v>1169</v>
      </c>
      <c r="B48" s="3" t="s">
        <v>1170</v>
      </c>
      <c r="C48" s="12" t="s">
        <v>70</v>
      </c>
      <c r="E48" s="50">
        <f t="shared" si="6"/>
        <v>103</v>
      </c>
      <c r="F48" s="50">
        <f t="shared" si="6"/>
        <v>250</v>
      </c>
      <c r="G48" s="50">
        <f t="shared" si="6"/>
        <v>354</v>
      </c>
      <c r="H48" s="50">
        <f t="shared" si="6"/>
        <v>388</v>
      </c>
      <c r="I48" s="50">
        <f t="shared" si="6"/>
        <v>433</v>
      </c>
      <c r="J48" s="50">
        <f t="shared" si="6"/>
        <v>476</v>
      </c>
    </row>
    <row r="49" spans="1:10" x14ac:dyDescent="0.45">
      <c r="A49" s="12" t="s">
        <v>1171</v>
      </c>
      <c r="B49" s="3" t="s">
        <v>544</v>
      </c>
      <c r="C49" s="12" t="s">
        <v>70</v>
      </c>
      <c r="E49" s="50">
        <f t="shared" si="6"/>
        <v>776</v>
      </c>
      <c r="F49" s="50">
        <f t="shared" si="6"/>
        <v>1735</v>
      </c>
      <c r="G49" s="50">
        <f t="shared" si="6"/>
        <v>1761</v>
      </c>
      <c r="H49" s="50">
        <f t="shared" si="6"/>
        <v>1958</v>
      </c>
      <c r="I49" s="50">
        <f t="shared" si="6"/>
        <v>2408</v>
      </c>
      <c r="J49" s="50">
        <f t="shared" si="6"/>
        <v>3145</v>
      </c>
    </row>
    <row r="50" spans="1:10" x14ac:dyDescent="0.45">
      <c r="A50" s="12" t="s">
        <v>546</v>
      </c>
      <c r="B50" s="3" t="s">
        <v>547</v>
      </c>
      <c r="C50" s="12" t="s">
        <v>70</v>
      </c>
      <c r="E50" s="50">
        <f t="shared" si="6"/>
        <v>30</v>
      </c>
      <c r="F50" s="50">
        <f t="shared" si="6"/>
        <v>40</v>
      </c>
      <c r="G50" s="50">
        <f t="shared" si="6"/>
        <v>30</v>
      </c>
      <c r="H50" s="50">
        <f t="shared" si="6"/>
        <v>32</v>
      </c>
      <c r="I50" s="50">
        <f t="shared" si="6"/>
        <v>37</v>
      </c>
      <c r="J50" s="50">
        <f t="shared" si="6"/>
        <v>47</v>
      </c>
    </row>
    <row r="51" spans="1:10" x14ac:dyDescent="0.45">
      <c r="A51" s="12" t="s">
        <v>548</v>
      </c>
      <c r="B51" s="3" t="s">
        <v>549</v>
      </c>
      <c r="C51" s="12" t="s">
        <v>70</v>
      </c>
      <c r="E51" s="50">
        <f t="shared" si="6"/>
        <v>43</v>
      </c>
      <c r="F51" s="50">
        <f t="shared" si="6"/>
        <v>44</v>
      </c>
      <c r="G51" s="50">
        <f t="shared" si="6"/>
        <v>39</v>
      </c>
      <c r="H51" s="50">
        <f t="shared" si="6"/>
        <v>39</v>
      </c>
      <c r="I51" s="50">
        <f t="shared" si="6"/>
        <v>59</v>
      </c>
      <c r="J51" s="50">
        <f t="shared" si="6"/>
        <v>68</v>
      </c>
    </row>
    <row r="52" spans="1:10" x14ac:dyDescent="0.45">
      <c r="A52" s="12" t="s">
        <v>1172</v>
      </c>
      <c r="B52" s="3" t="s">
        <v>553</v>
      </c>
      <c r="C52" s="12" t="s">
        <v>70</v>
      </c>
      <c r="E52" s="50">
        <f t="shared" si="6"/>
        <v>136</v>
      </c>
      <c r="F52" s="50">
        <f t="shared" si="6"/>
        <v>352</v>
      </c>
      <c r="G52" s="50">
        <f t="shared" si="6"/>
        <v>496</v>
      </c>
      <c r="H52" s="50">
        <f t="shared" si="6"/>
        <v>663</v>
      </c>
      <c r="I52" s="50">
        <f t="shared" si="6"/>
        <v>811</v>
      </c>
      <c r="J52" s="50">
        <f t="shared" si="6"/>
        <v>969</v>
      </c>
    </row>
    <row r="53" spans="1:10" x14ac:dyDescent="0.45">
      <c r="A53" s="12" t="s">
        <v>1173</v>
      </c>
      <c r="B53" s="3" t="s">
        <v>557</v>
      </c>
      <c r="C53" s="12" t="s">
        <v>70</v>
      </c>
      <c r="E53" s="50">
        <f t="shared" si="6"/>
        <v>398</v>
      </c>
      <c r="F53" s="50">
        <f t="shared" si="6"/>
        <v>644</v>
      </c>
      <c r="G53" s="50">
        <f t="shared" si="6"/>
        <v>663</v>
      </c>
      <c r="H53" s="50">
        <f t="shared" si="6"/>
        <v>764</v>
      </c>
      <c r="I53" s="50">
        <f t="shared" si="6"/>
        <v>863</v>
      </c>
      <c r="J53" s="50">
        <f t="shared" si="6"/>
        <v>1021</v>
      </c>
    </row>
    <row r="54" spans="1:10" x14ac:dyDescent="0.45">
      <c r="A54" s="12" t="s">
        <v>742</v>
      </c>
      <c r="B54" s="3" t="s">
        <v>1174</v>
      </c>
      <c r="C54" s="12" t="s">
        <v>70</v>
      </c>
      <c r="E54" s="50">
        <f t="shared" si="6"/>
        <v>849</v>
      </c>
      <c r="F54" s="50">
        <f t="shared" si="6"/>
        <v>0</v>
      </c>
      <c r="G54" s="50">
        <f t="shared" si="6"/>
        <v>0</v>
      </c>
      <c r="H54" s="50">
        <f t="shared" si="6"/>
        <v>0</v>
      </c>
      <c r="I54" s="50">
        <f t="shared" si="6"/>
        <v>0</v>
      </c>
      <c r="J54" s="50">
        <f t="shared" si="6"/>
        <v>0</v>
      </c>
    </row>
    <row r="55" spans="1:10" x14ac:dyDescent="0.45">
      <c r="A55" s="12" t="s">
        <v>1175</v>
      </c>
      <c r="B55" s="3" t="s">
        <v>559</v>
      </c>
      <c r="C55" s="12" t="s">
        <v>70</v>
      </c>
      <c r="E55" s="50">
        <f t="shared" si="6"/>
        <v>-471</v>
      </c>
      <c r="F55" s="50">
        <f t="shared" si="6"/>
        <v>1091</v>
      </c>
      <c r="G55" s="50">
        <f t="shared" si="6"/>
        <v>1098</v>
      </c>
      <c r="H55" s="50">
        <f t="shared" si="6"/>
        <v>1194</v>
      </c>
      <c r="I55" s="50">
        <f t="shared" si="6"/>
        <v>1545</v>
      </c>
      <c r="J55" s="50">
        <f t="shared" si="6"/>
        <v>2124</v>
      </c>
    </row>
    <row r="56" spans="1:10" x14ac:dyDescent="0.45">
      <c r="A56" s="12" t="s">
        <v>1176</v>
      </c>
      <c r="B56" s="3" t="s">
        <v>561</v>
      </c>
      <c r="C56" s="12" t="s">
        <v>70</v>
      </c>
      <c r="E56" s="50">
        <f t="shared" si="6"/>
        <v>776</v>
      </c>
      <c r="F56" s="50">
        <f t="shared" si="6"/>
        <v>1735</v>
      </c>
      <c r="G56" s="50">
        <f t="shared" si="6"/>
        <v>1761</v>
      </c>
      <c r="H56" s="50">
        <f t="shared" si="6"/>
        <v>1958</v>
      </c>
      <c r="I56" s="50">
        <f t="shared" si="6"/>
        <v>2408</v>
      </c>
      <c r="J56" s="50">
        <f t="shared" si="6"/>
        <v>3145</v>
      </c>
    </row>
    <row r="57" spans="1:10" x14ac:dyDescent="0.45">
      <c r="A57" s="21"/>
      <c r="B57" s="22" t="s">
        <v>1202</v>
      </c>
      <c r="C57" s="21"/>
      <c r="D57" s="21"/>
      <c r="E57" s="21"/>
      <c r="F57" s="21"/>
      <c r="G57" s="21"/>
      <c r="H57" s="21"/>
      <c r="I57" s="21"/>
      <c r="J57" s="21"/>
    </row>
    <row r="58" spans="1:10" x14ac:dyDescent="0.45">
      <c r="A58" s="12" t="s">
        <v>382</v>
      </c>
      <c r="B58" s="3" t="s">
        <v>383</v>
      </c>
      <c r="C58" s="12" t="s">
        <v>70</v>
      </c>
      <c r="E58" s="50">
        <f t="shared" ref="E58:J58" si="7">E11-E9-E10</f>
        <v>78</v>
      </c>
      <c r="F58" s="50">
        <f t="shared" si="7"/>
        <v>130</v>
      </c>
      <c r="G58" s="50">
        <f t="shared" si="7"/>
        <v>139</v>
      </c>
      <c r="H58" s="50">
        <f t="shared" si="7"/>
        <v>176</v>
      </c>
      <c r="I58" s="50">
        <f t="shared" si="7"/>
        <v>201</v>
      </c>
      <c r="J58" s="50">
        <f t="shared" si="7"/>
        <v>180</v>
      </c>
    </row>
    <row r="59" spans="1:10" x14ac:dyDescent="0.45">
      <c r="A59" s="12" t="s">
        <v>408</v>
      </c>
      <c r="B59" s="3" t="s">
        <v>409</v>
      </c>
      <c r="C59" s="12" t="s">
        <v>70</v>
      </c>
      <c r="E59" s="50">
        <f t="shared" ref="E59:J59" si="8">E15-E12-E13-E14</f>
        <v>130</v>
      </c>
      <c r="F59" s="50">
        <f t="shared" si="8"/>
        <v>204</v>
      </c>
      <c r="G59" s="50">
        <f t="shared" si="8"/>
        <v>311</v>
      </c>
      <c r="H59" s="50">
        <f t="shared" si="8"/>
        <v>357</v>
      </c>
      <c r="I59" s="50">
        <f t="shared" si="8"/>
        <v>371</v>
      </c>
      <c r="J59" s="50">
        <f t="shared" si="8"/>
        <v>400</v>
      </c>
    </row>
    <row r="60" spans="1:10" x14ac:dyDescent="0.45">
      <c r="A60" s="12" t="s">
        <v>468</v>
      </c>
      <c r="B60" s="3" t="s">
        <v>715</v>
      </c>
      <c r="C60" s="12" t="s">
        <v>70</v>
      </c>
      <c r="E60" s="50">
        <f t="shared" ref="E60:J60" si="9">E24-E22-E23</f>
        <v>-16</v>
      </c>
      <c r="F60" s="50">
        <f t="shared" si="9"/>
        <v>-250</v>
      </c>
      <c r="G60" s="50">
        <f t="shared" si="9"/>
        <v>96</v>
      </c>
      <c r="H60" s="50">
        <f t="shared" si="9"/>
        <v>6</v>
      </c>
      <c r="I60" s="50">
        <f t="shared" si="9"/>
        <v>-36</v>
      </c>
      <c r="J60" s="50">
        <f t="shared" si="9"/>
        <v>3</v>
      </c>
    </row>
    <row r="61" spans="1:10" x14ac:dyDescent="0.45">
      <c r="A61" s="12" t="s">
        <v>531</v>
      </c>
      <c r="B61" s="3" t="s">
        <v>630</v>
      </c>
      <c r="C61" s="12" t="s">
        <v>70</v>
      </c>
      <c r="E61" s="50">
        <f t="shared" ref="E61:J61" si="10">E43-E38-E39-E40-E41-E42</f>
        <v>28</v>
      </c>
      <c r="F61" s="50">
        <f t="shared" si="10"/>
        <v>88</v>
      </c>
      <c r="G61" s="50">
        <f t="shared" si="10"/>
        <v>139</v>
      </c>
      <c r="H61" s="50">
        <f t="shared" si="10"/>
        <v>172</v>
      </c>
      <c r="I61" s="50">
        <f t="shared" si="10"/>
        <v>202</v>
      </c>
      <c r="J61" s="50">
        <f t="shared" si="10"/>
        <v>278</v>
      </c>
    </row>
    <row r="62" spans="1:10" x14ac:dyDescent="0.45">
      <c r="A62" s="12" t="s">
        <v>541</v>
      </c>
      <c r="B62" s="3" t="s">
        <v>542</v>
      </c>
      <c r="C62" s="12" t="s">
        <v>70</v>
      </c>
      <c r="E62" s="50">
        <f t="shared" ref="E62:J62" si="11">E48-E44-E45-E46-E47</f>
        <v>15</v>
      </c>
      <c r="F62" s="50">
        <f t="shared" si="11"/>
        <v>111</v>
      </c>
      <c r="G62" s="50">
        <f t="shared" si="11"/>
        <v>129</v>
      </c>
      <c r="H62" s="50">
        <f t="shared" si="11"/>
        <v>119</v>
      </c>
      <c r="I62" s="50">
        <f t="shared" si="11"/>
        <v>143</v>
      </c>
      <c r="J62" s="50">
        <f t="shared" si="11"/>
        <v>146</v>
      </c>
    </row>
    <row r="63" spans="1:10" x14ac:dyDescent="0.45">
      <c r="A63" s="12" t="s">
        <v>550</v>
      </c>
      <c r="B63" s="3" t="s">
        <v>637</v>
      </c>
      <c r="C63" s="12" t="s">
        <v>70</v>
      </c>
      <c r="E63" s="50">
        <f t="shared" ref="E63:J63" si="12">E52-E50-E51</f>
        <v>63</v>
      </c>
      <c r="F63" s="50">
        <f t="shared" si="12"/>
        <v>268</v>
      </c>
      <c r="G63" s="50">
        <f t="shared" si="12"/>
        <v>427</v>
      </c>
      <c r="H63" s="50">
        <f t="shared" si="12"/>
        <v>592</v>
      </c>
      <c r="I63" s="50">
        <f t="shared" si="12"/>
        <v>715</v>
      </c>
      <c r="J63" s="50">
        <f t="shared" si="12"/>
        <v>854</v>
      </c>
    </row>
    <row r="64" spans="1:10" x14ac:dyDescent="0.45">
      <c r="A64" s="12" t="s">
        <v>554</v>
      </c>
      <c r="B64" s="3" t="s">
        <v>1203</v>
      </c>
      <c r="C64" s="12" t="s">
        <v>70</v>
      </c>
      <c r="E64" s="50">
        <f t="shared" ref="E64:J64" si="13">E53-E52</f>
        <v>262</v>
      </c>
      <c r="F64" s="50">
        <f t="shared" si="13"/>
        <v>292</v>
      </c>
      <c r="G64" s="50">
        <f t="shared" si="13"/>
        <v>167</v>
      </c>
      <c r="H64" s="50">
        <f t="shared" si="13"/>
        <v>101</v>
      </c>
      <c r="I64" s="50">
        <f t="shared" si="13"/>
        <v>52</v>
      </c>
      <c r="J64" s="50">
        <f t="shared" si="13"/>
        <v>52</v>
      </c>
    </row>
  </sheetData>
  <pageMargins left="0.75" right="0.75" top="1" bottom="1" header="0.5" footer="0.5"/>
  <pageSetup fitToHeight="0"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7F7F7F"/>
    <pageSetUpPr fitToPage="1"/>
  </sheetPr>
  <dimension ref="A1:N1420"/>
  <sheetViews>
    <sheetView showGridLines="0" zoomScale="90" workbookViewId="0">
      <pane xSplit="2" ySplit="4" topLeftCell="C5" activePane="bottomRight" state="frozen"/>
      <selection pane="topRight"/>
      <selection pane="bottomLeft"/>
      <selection pane="bottomRight"/>
    </sheetView>
  </sheetViews>
  <sheetFormatPr defaultRowHeight="14.25" x14ac:dyDescent="0.45"/>
  <cols>
    <col min="1" max="1" width="12" customWidth="1"/>
    <col min="2" max="2" width="44" customWidth="1"/>
    <col min="3" max="3" width="20" customWidth="1"/>
    <col min="4" max="5" width="11" customWidth="1"/>
    <col min="6" max="6" width="12" customWidth="1"/>
    <col min="7" max="7" width="8" customWidth="1"/>
    <col min="8" max="8" width="60" customWidth="1"/>
    <col min="9" max="9" width="50" customWidth="1"/>
    <col min="10" max="10" width="7" customWidth="1"/>
    <col min="11" max="11" width="22" customWidth="1"/>
    <col min="12" max="12" width="11" customWidth="1"/>
    <col min="13" max="13" width="70" customWidth="1"/>
    <col min="14" max="14" width="80" customWidth="1"/>
  </cols>
  <sheetData>
    <row r="1" spans="1:14" ht="18" x14ac:dyDescent="0.55000000000000004">
      <c r="A1" s="1" t="s">
        <v>1204</v>
      </c>
    </row>
    <row r="2" spans="1:14" x14ac:dyDescent="0.45">
      <c r="A2" s="2" t="s">
        <v>1205</v>
      </c>
    </row>
    <row r="3" spans="1:14" x14ac:dyDescent="0.45">
      <c r="A3" s="2" t="s">
        <v>1206</v>
      </c>
    </row>
    <row r="4" spans="1:14" x14ac:dyDescent="0.45">
      <c r="A4" s="7" t="s">
        <v>1207</v>
      </c>
      <c r="B4" s="7" t="s">
        <v>1208</v>
      </c>
      <c r="C4" s="7" t="s">
        <v>1209</v>
      </c>
      <c r="D4" s="7" t="s">
        <v>1210</v>
      </c>
      <c r="E4" s="7" t="s">
        <v>286</v>
      </c>
      <c r="F4" s="7" t="s">
        <v>917</v>
      </c>
      <c r="G4" s="7" t="s">
        <v>63</v>
      </c>
      <c r="H4" s="7" t="s">
        <v>1211</v>
      </c>
      <c r="I4" s="7" t="s">
        <v>1212</v>
      </c>
      <c r="J4" s="7" t="s">
        <v>1213</v>
      </c>
      <c r="K4" s="7" t="s">
        <v>1214</v>
      </c>
      <c r="L4" s="7" t="s">
        <v>1215</v>
      </c>
      <c r="M4" s="7" t="s">
        <v>1216</v>
      </c>
      <c r="N4" s="7" t="s">
        <v>1217</v>
      </c>
    </row>
    <row r="5" spans="1:14" x14ac:dyDescent="0.45">
      <c r="A5" s="3" t="s">
        <v>350</v>
      </c>
      <c r="B5" s="3" t="s">
        <v>351</v>
      </c>
      <c r="C5" s="3" t="s">
        <v>1218</v>
      </c>
      <c r="D5" s="3" t="s">
        <v>1219</v>
      </c>
      <c r="E5" s="3" t="s">
        <v>1220</v>
      </c>
      <c r="F5" s="79">
        <v>101</v>
      </c>
      <c r="G5" s="3" t="s">
        <v>1221</v>
      </c>
      <c r="H5" s="3" t="s">
        <v>1222</v>
      </c>
      <c r="I5" s="3" t="s">
        <v>1223</v>
      </c>
      <c r="J5" s="3" t="s">
        <v>1224</v>
      </c>
      <c r="K5" s="3" t="s">
        <v>1225</v>
      </c>
      <c r="L5" s="3" t="s">
        <v>1226</v>
      </c>
      <c r="M5" s="3" t="s">
        <v>1227</v>
      </c>
      <c r="N5" s="3" t="s">
        <v>1228</v>
      </c>
    </row>
    <row r="6" spans="1:14" x14ac:dyDescent="0.45">
      <c r="A6" s="3" t="s">
        <v>350</v>
      </c>
      <c r="B6" s="3" t="s">
        <v>351</v>
      </c>
      <c r="C6" s="3" t="s">
        <v>1229</v>
      </c>
      <c r="D6" s="3" t="s">
        <v>1230</v>
      </c>
      <c r="E6" s="3" t="s">
        <v>1231</v>
      </c>
      <c r="F6" s="79">
        <v>169</v>
      </c>
      <c r="G6" s="3" t="s">
        <v>1221</v>
      </c>
      <c r="H6" s="3" t="s">
        <v>1222</v>
      </c>
      <c r="I6" s="3" t="s">
        <v>1223</v>
      </c>
      <c r="J6" s="3" t="s">
        <v>1224</v>
      </c>
      <c r="K6" s="3" t="s">
        <v>1232</v>
      </c>
      <c r="L6" s="3" t="s">
        <v>1233</v>
      </c>
      <c r="M6" s="3" t="s">
        <v>1234</v>
      </c>
      <c r="N6" s="3" t="s">
        <v>1235</v>
      </c>
    </row>
    <row r="7" spans="1:14" x14ac:dyDescent="0.45">
      <c r="A7" s="3" t="s">
        <v>350</v>
      </c>
      <c r="B7" s="3" t="s">
        <v>351</v>
      </c>
      <c r="C7" s="3" t="s">
        <v>1236</v>
      </c>
      <c r="D7" s="3" t="s">
        <v>1237</v>
      </c>
      <c r="E7" s="3" t="s">
        <v>1238</v>
      </c>
      <c r="F7" s="79">
        <v>324</v>
      </c>
      <c r="G7" s="3" t="s">
        <v>1221</v>
      </c>
      <c r="H7" s="3" t="s">
        <v>1222</v>
      </c>
      <c r="I7" s="3" t="s">
        <v>1223</v>
      </c>
      <c r="J7" s="3" t="s">
        <v>1224</v>
      </c>
      <c r="K7" s="3" t="s">
        <v>1239</v>
      </c>
      <c r="L7" s="3" t="s">
        <v>1240</v>
      </c>
      <c r="M7" s="3" t="s">
        <v>1241</v>
      </c>
      <c r="N7" s="3" t="s">
        <v>1242</v>
      </c>
    </row>
    <row r="8" spans="1:14" x14ac:dyDescent="0.45">
      <c r="A8" s="3" t="s">
        <v>350</v>
      </c>
      <c r="B8" s="3" t="s">
        <v>351</v>
      </c>
      <c r="C8" s="3" t="s">
        <v>1243</v>
      </c>
      <c r="D8" s="3" t="s">
        <v>1244</v>
      </c>
      <c r="E8" s="3" t="s">
        <v>1245</v>
      </c>
      <c r="F8" s="79">
        <v>500</v>
      </c>
      <c r="G8" s="3" t="s">
        <v>1221</v>
      </c>
      <c r="H8" s="3" t="s">
        <v>1222</v>
      </c>
      <c r="I8" s="3" t="s">
        <v>1223</v>
      </c>
      <c r="J8" s="3" t="s">
        <v>1224</v>
      </c>
      <c r="K8" s="3" t="s">
        <v>1246</v>
      </c>
      <c r="L8" s="3" t="s">
        <v>1247</v>
      </c>
      <c r="M8" s="3" t="s">
        <v>1248</v>
      </c>
      <c r="N8" s="3" t="s">
        <v>1249</v>
      </c>
    </row>
    <row r="9" spans="1:14" x14ac:dyDescent="0.45">
      <c r="A9" s="3" t="s">
        <v>350</v>
      </c>
      <c r="B9" s="3" t="s">
        <v>351</v>
      </c>
      <c r="C9" s="3" t="s">
        <v>1250</v>
      </c>
      <c r="D9" s="3" t="s">
        <v>1251</v>
      </c>
      <c r="E9" s="3" t="s">
        <v>1252</v>
      </c>
      <c r="F9" s="79">
        <v>706</v>
      </c>
      <c r="G9" s="3" t="s">
        <v>1221</v>
      </c>
      <c r="H9" s="3" t="s">
        <v>1222</v>
      </c>
      <c r="I9" s="3" t="s">
        <v>1223</v>
      </c>
      <c r="J9" s="3" t="s">
        <v>1224</v>
      </c>
      <c r="K9" s="3" t="s">
        <v>1246</v>
      </c>
      <c r="L9" s="3" t="s">
        <v>1247</v>
      </c>
      <c r="M9" s="3" t="s">
        <v>1248</v>
      </c>
      <c r="N9" s="3" t="s">
        <v>1253</v>
      </c>
    </row>
    <row r="10" spans="1:14" x14ac:dyDescent="0.45">
      <c r="A10" s="3" t="s">
        <v>350</v>
      </c>
      <c r="B10" s="3" t="s">
        <v>351</v>
      </c>
      <c r="C10" s="3" t="s">
        <v>1254</v>
      </c>
      <c r="D10" s="3" t="s">
        <v>1255</v>
      </c>
      <c r="E10" s="3" t="s">
        <v>1256</v>
      </c>
      <c r="F10" s="79">
        <v>936</v>
      </c>
      <c r="G10" s="3" t="s">
        <v>1221</v>
      </c>
      <c r="H10" s="3" t="s">
        <v>1222</v>
      </c>
      <c r="I10" s="3" t="s">
        <v>1223</v>
      </c>
      <c r="J10" s="3" t="s">
        <v>1224</v>
      </c>
      <c r="K10" s="3" t="s">
        <v>1246</v>
      </c>
      <c r="L10" s="3" t="s">
        <v>1247</v>
      </c>
      <c r="M10" s="3" t="s">
        <v>1248</v>
      </c>
      <c r="N10" s="3" t="s">
        <v>1257</v>
      </c>
    </row>
    <row r="11" spans="1:14" x14ac:dyDescent="0.45">
      <c r="A11" s="3" t="s">
        <v>350</v>
      </c>
      <c r="B11" s="3" t="s">
        <v>351</v>
      </c>
      <c r="C11" s="3" t="s">
        <v>1258</v>
      </c>
      <c r="D11" s="3" t="s">
        <v>1230</v>
      </c>
      <c r="E11" s="3" t="s">
        <v>1259</v>
      </c>
      <c r="F11" s="79">
        <v>115</v>
      </c>
      <c r="G11" s="3" t="s">
        <v>1221</v>
      </c>
      <c r="H11" s="3" t="s">
        <v>1222</v>
      </c>
      <c r="I11" s="3" t="s">
        <v>1223</v>
      </c>
      <c r="J11" s="3" t="s">
        <v>1260</v>
      </c>
      <c r="K11" s="3" t="s">
        <v>1261</v>
      </c>
      <c r="L11" s="3" t="s">
        <v>1262</v>
      </c>
      <c r="M11" s="3" t="s">
        <v>1263</v>
      </c>
      <c r="N11" s="3" t="s">
        <v>1264</v>
      </c>
    </row>
    <row r="12" spans="1:14" x14ac:dyDescent="0.45">
      <c r="A12" s="3" t="s">
        <v>350</v>
      </c>
      <c r="B12" s="3" t="s">
        <v>351</v>
      </c>
      <c r="C12" s="3" t="s">
        <v>1265</v>
      </c>
      <c r="D12" s="3" t="s">
        <v>1237</v>
      </c>
      <c r="E12" s="3" t="s">
        <v>1266</v>
      </c>
      <c r="F12" s="79">
        <v>63</v>
      </c>
      <c r="G12" s="3" t="s">
        <v>1221</v>
      </c>
      <c r="H12" s="3" t="s">
        <v>1222</v>
      </c>
      <c r="I12" s="3" t="s">
        <v>1223</v>
      </c>
      <c r="J12" s="3" t="s">
        <v>1260</v>
      </c>
      <c r="K12" s="3" t="s">
        <v>1267</v>
      </c>
      <c r="L12" s="3" t="s">
        <v>1268</v>
      </c>
      <c r="M12" s="3" t="s">
        <v>1269</v>
      </c>
      <c r="N12" s="3" t="s">
        <v>1270</v>
      </c>
    </row>
    <row r="13" spans="1:14" x14ac:dyDescent="0.45">
      <c r="A13" s="3" t="s">
        <v>350</v>
      </c>
      <c r="B13" s="3" t="s">
        <v>351</v>
      </c>
      <c r="C13" s="3" t="s">
        <v>1271</v>
      </c>
      <c r="D13" s="3" t="s">
        <v>1272</v>
      </c>
      <c r="E13" s="3" t="s">
        <v>1273</v>
      </c>
      <c r="F13" s="79">
        <v>76</v>
      </c>
      <c r="G13" s="3" t="s">
        <v>1221</v>
      </c>
      <c r="H13" s="3" t="s">
        <v>1222</v>
      </c>
      <c r="I13" s="3" t="s">
        <v>1223</v>
      </c>
      <c r="J13" s="3" t="s">
        <v>1260</v>
      </c>
      <c r="K13" s="3" t="s">
        <v>1274</v>
      </c>
      <c r="L13" s="3" t="s">
        <v>1275</v>
      </c>
      <c r="M13" s="3" t="s">
        <v>1276</v>
      </c>
      <c r="N13" s="3" t="s">
        <v>1277</v>
      </c>
    </row>
    <row r="14" spans="1:14" x14ac:dyDescent="0.45">
      <c r="A14" s="3" t="s">
        <v>350</v>
      </c>
      <c r="B14" s="3" t="s">
        <v>351</v>
      </c>
      <c r="C14" s="3" t="s">
        <v>1278</v>
      </c>
      <c r="D14" s="3" t="s">
        <v>1279</v>
      </c>
      <c r="E14" s="3" t="s">
        <v>1280</v>
      </c>
      <c r="F14" s="79">
        <v>90</v>
      </c>
      <c r="G14" s="3" t="s">
        <v>1221</v>
      </c>
      <c r="H14" s="3" t="s">
        <v>1222</v>
      </c>
      <c r="I14" s="3" t="s">
        <v>1223</v>
      </c>
      <c r="J14" s="3" t="s">
        <v>1260</v>
      </c>
      <c r="K14" s="3" t="s">
        <v>1281</v>
      </c>
      <c r="L14" s="3" t="s">
        <v>1282</v>
      </c>
      <c r="M14" s="3" t="s">
        <v>1283</v>
      </c>
      <c r="N14" s="3" t="s">
        <v>1284</v>
      </c>
    </row>
    <row r="15" spans="1:14" x14ac:dyDescent="0.45">
      <c r="A15" s="3" t="s">
        <v>350</v>
      </c>
      <c r="B15" s="3" t="s">
        <v>351</v>
      </c>
      <c r="C15" s="3" t="s">
        <v>1285</v>
      </c>
      <c r="D15" s="3" t="s">
        <v>1237</v>
      </c>
      <c r="E15" s="3" t="s">
        <v>1280</v>
      </c>
      <c r="F15" s="79">
        <v>230</v>
      </c>
      <c r="G15" s="3" t="s">
        <v>1221</v>
      </c>
      <c r="H15" s="3" t="s">
        <v>1222</v>
      </c>
      <c r="I15" s="3" t="s">
        <v>1223</v>
      </c>
      <c r="J15" s="3" t="s">
        <v>1260</v>
      </c>
      <c r="K15" s="3" t="s">
        <v>1281</v>
      </c>
      <c r="L15" s="3" t="s">
        <v>1282</v>
      </c>
      <c r="M15" s="3" t="s">
        <v>1283</v>
      </c>
      <c r="N15" s="3" t="s">
        <v>1286</v>
      </c>
    </row>
    <row r="16" spans="1:14" x14ac:dyDescent="0.45">
      <c r="A16" s="3" t="s">
        <v>350</v>
      </c>
      <c r="B16" s="3" t="s">
        <v>351</v>
      </c>
      <c r="C16" s="3" t="s">
        <v>1287</v>
      </c>
      <c r="D16" s="3" t="s">
        <v>1244</v>
      </c>
      <c r="E16" s="3" t="s">
        <v>1288</v>
      </c>
      <c r="F16" s="79">
        <v>107</v>
      </c>
      <c r="G16" s="3" t="s">
        <v>1221</v>
      </c>
      <c r="H16" s="3" t="s">
        <v>1222</v>
      </c>
      <c r="I16" s="3" t="s">
        <v>1223</v>
      </c>
      <c r="J16" s="3" t="s">
        <v>1260</v>
      </c>
      <c r="K16" s="3" t="s">
        <v>1289</v>
      </c>
      <c r="L16" s="3" t="s">
        <v>1290</v>
      </c>
      <c r="M16" s="3" t="s">
        <v>1291</v>
      </c>
      <c r="N16" s="3" t="s">
        <v>1292</v>
      </c>
    </row>
    <row r="17" spans="1:14" x14ac:dyDescent="0.45">
      <c r="A17" s="3" t="s">
        <v>350</v>
      </c>
      <c r="B17" s="3" t="s">
        <v>351</v>
      </c>
      <c r="C17" s="3" t="s">
        <v>1293</v>
      </c>
      <c r="D17" s="3" t="s">
        <v>1294</v>
      </c>
      <c r="E17" s="3" t="s">
        <v>1295</v>
      </c>
      <c r="F17" s="79">
        <v>121</v>
      </c>
      <c r="G17" s="3" t="s">
        <v>1221</v>
      </c>
      <c r="H17" s="3" t="s">
        <v>1222</v>
      </c>
      <c r="I17" s="3" t="s">
        <v>1223</v>
      </c>
      <c r="J17" s="3" t="s">
        <v>1260</v>
      </c>
      <c r="K17" s="3" t="s">
        <v>1296</v>
      </c>
      <c r="L17" s="3" t="s">
        <v>1297</v>
      </c>
      <c r="M17" s="3" t="s">
        <v>1298</v>
      </c>
      <c r="N17" s="3" t="s">
        <v>1299</v>
      </c>
    </row>
    <row r="18" spans="1:14" x14ac:dyDescent="0.45">
      <c r="A18" s="3" t="s">
        <v>350</v>
      </c>
      <c r="B18" s="3" t="s">
        <v>351</v>
      </c>
      <c r="C18" s="3" t="s">
        <v>1300</v>
      </c>
      <c r="D18" s="3" t="s">
        <v>1301</v>
      </c>
      <c r="E18" s="3" t="s">
        <v>1302</v>
      </c>
      <c r="F18" s="79">
        <v>131</v>
      </c>
      <c r="G18" s="3" t="s">
        <v>1221</v>
      </c>
      <c r="H18" s="3" t="s">
        <v>1222</v>
      </c>
      <c r="I18" s="3" t="s">
        <v>1223</v>
      </c>
      <c r="J18" s="3" t="s">
        <v>1260</v>
      </c>
      <c r="K18" s="3" t="s">
        <v>1303</v>
      </c>
      <c r="L18" s="3" t="s">
        <v>1304</v>
      </c>
      <c r="M18" s="3" t="s">
        <v>1305</v>
      </c>
      <c r="N18" s="3" t="s">
        <v>1306</v>
      </c>
    </row>
    <row r="19" spans="1:14" x14ac:dyDescent="0.45">
      <c r="A19" s="3" t="s">
        <v>350</v>
      </c>
      <c r="B19" s="3" t="s">
        <v>351</v>
      </c>
      <c r="C19" s="3" t="s">
        <v>1307</v>
      </c>
      <c r="D19" s="3" t="s">
        <v>1244</v>
      </c>
      <c r="E19" s="3" t="s">
        <v>1302</v>
      </c>
      <c r="F19" s="79">
        <v>358</v>
      </c>
      <c r="G19" s="3" t="s">
        <v>1221</v>
      </c>
      <c r="H19" s="3" t="s">
        <v>1222</v>
      </c>
      <c r="I19" s="3" t="s">
        <v>1223</v>
      </c>
      <c r="J19" s="3" t="s">
        <v>1260</v>
      </c>
      <c r="K19" s="3" t="s">
        <v>1303</v>
      </c>
      <c r="L19" s="3" t="s">
        <v>1304</v>
      </c>
      <c r="M19" s="3" t="s">
        <v>1305</v>
      </c>
      <c r="N19" s="3" t="s">
        <v>1308</v>
      </c>
    </row>
    <row r="20" spans="1:14" x14ac:dyDescent="0.45">
      <c r="A20" s="3" t="s">
        <v>350</v>
      </c>
      <c r="B20" s="3" t="s">
        <v>351</v>
      </c>
      <c r="C20" s="3" t="s">
        <v>1309</v>
      </c>
      <c r="D20" s="3" t="s">
        <v>1251</v>
      </c>
      <c r="E20" s="3" t="s">
        <v>1310</v>
      </c>
      <c r="F20" s="79">
        <v>151</v>
      </c>
      <c r="G20" s="3" t="s">
        <v>1221</v>
      </c>
      <c r="H20" s="3" t="s">
        <v>1222</v>
      </c>
      <c r="I20" s="3" t="s">
        <v>1223</v>
      </c>
      <c r="J20" s="3" t="s">
        <v>1260</v>
      </c>
      <c r="K20" s="3" t="s">
        <v>1311</v>
      </c>
      <c r="L20" s="3" t="s">
        <v>1312</v>
      </c>
      <c r="M20" s="3" t="s">
        <v>1313</v>
      </c>
      <c r="N20" s="3" t="s">
        <v>1314</v>
      </c>
    </row>
    <row r="21" spans="1:14" x14ac:dyDescent="0.45">
      <c r="A21" s="3" t="s">
        <v>350</v>
      </c>
      <c r="B21" s="3" t="s">
        <v>351</v>
      </c>
      <c r="C21" s="3" t="s">
        <v>1315</v>
      </c>
      <c r="D21" s="3" t="s">
        <v>1316</v>
      </c>
      <c r="E21" s="3" t="s">
        <v>1317</v>
      </c>
      <c r="F21" s="79">
        <v>166</v>
      </c>
      <c r="G21" s="3" t="s">
        <v>1221</v>
      </c>
      <c r="H21" s="3" t="s">
        <v>1222</v>
      </c>
      <c r="I21" s="3" t="s">
        <v>1223</v>
      </c>
      <c r="J21" s="3" t="s">
        <v>1260</v>
      </c>
      <c r="K21" s="3" t="s">
        <v>1318</v>
      </c>
      <c r="L21" s="3" t="s">
        <v>1319</v>
      </c>
      <c r="M21" s="3" t="s">
        <v>1320</v>
      </c>
      <c r="N21" s="3" t="s">
        <v>1321</v>
      </c>
    </row>
    <row r="22" spans="1:14" x14ac:dyDescent="0.45">
      <c r="A22" s="3" t="s">
        <v>350</v>
      </c>
      <c r="B22" s="3" t="s">
        <v>351</v>
      </c>
      <c r="C22" s="3" t="s">
        <v>1322</v>
      </c>
      <c r="D22" s="3" t="s">
        <v>1323</v>
      </c>
      <c r="E22" s="3" t="s">
        <v>1324</v>
      </c>
      <c r="F22" s="79">
        <v>189</v>
      </c>
      <c r="G22" s="3" t="s">
        <v>1221</v>
      </c>
      <c r="H22" s="3" t="s">
        <v>1222</v>
      </c>
      <c r="I22" s="3" t="s">
        <v>1223</v>
      </c>
      <c r="J22" s="3" t="s">
        <v>1260</v>
      </c>
      <c r="K22" s="3" t="s">
        <v>1325</v>
      </c>
      <c r="L22" s="3" t="s">
        <v>1326</v>
      </c>
      <c r="M22" s="3" t="s">
        <v>1327</v>
      </c>
      <c r="N22" s="3" t="s">
        <v>1328</v>
      </c>
    </row>
    <row r="23" spans="1:14" x14ac:dyDescent="0.45">
      <c r="A23" s="3" t="s">
        <v>350</v>
      </c>
      <c r="B23" s="3" t="s">
        <v>351</v>
      </c>
      <c r="C23" s="3" t="s">
        <v>1329</v>
      </c>
      <c r="D23" s="3" t="s">
        <v>1251</v>
      </c>
      <c r="E23" s="3" t="s">
        <v>1324</v>
      </c>
      <c r="F23" s="79">
        <v>506</v>
      </c>
      <c r="G23" s="3" t="s">
        <v>1221</v>
      </c>
      <c r="H23" s="3" t="s">
        <v>1222</v>
      </c>
      <c r="I23" s="3" t="s">
        <v>1223</v>
      </c>
      <c r="J23" s="3" t="s">
        <v>1260</v>
      </c>
      <c r="K23" s="3" t="s">
        <v>1325</v>
      </c>
      <c r="L23" s="3" t="s">
        <v>1326</v>
      </c>
      <c r="M23" s="3" t="s">
        <v>1327</v>
      </c>
      <c r="N23" s="3" t="s">
        <v>1330</v>
      </c>
    </row>
    <row r="24" spans="1:14" x14ac:dyDescent="0.45">
      <c r="A24" s="3" t="s">
        <v>350</v>
      </c>
      <c r="B24" s="3" t="s">
        <v>351</v>
      </c>
      <c r="C24" s="3" t="s">
        <v>1331</v>
      </c>
      <c r="D24" s="3" t="s">
        <v>1255</v>
      </c>
      <c r="E24" s="3" t="s">
        <v>1332</v>
      </c>
      <c r="F24" s="79">
        <v>209</v>
      </c>
      <c r="G24" s="3" t="s">
        <v>1221</v>
      </c>
      <c r="H24" s="3" t="s">
        <v>1222</v>
      </c>
      <c r="I24" s="3" t="s">
        <v>1223</v>
      </c>
      <c r="J24" s="3" t="s">
        <v>1260</v>
      </c>
      <c r="K24" s="3" t="s">
        <v>1333</v>
      </c>
      <c r="L24" s="3" t="s">
        <v>1334</v>
      </c>
      <c r="M24" s="3" t="s">
        <v>1335</v>
      </c>
      <c r="N24" s="3" t="s">
        <v>1336</v>
      </c>
    </row>
    <row r="25" spans="1:14" x14ac:dyDescent="0.45">
      <c r="A25" s="3" t="s">
        <v>350</v>
      </c>
      <c r="B25" s="3" t="s">
        <v>351</v>
      </c>
      <c r="C25" s="3" t="s">
        <v>1337</v>
      </c>
      <c r="D25" s="3" t="s">
        <v>1338</v>
      </c>
      <c r="E25" s="3" t="s">
        <v>1339</v>
      </c>
      <c r="F25" s="79">
        <v>227</v>
      </c>
      <c r="G25" s="3" t="s">
        <v>1221</v>
      </c>
      <c r="H25" s="3" t="s">
        <v>1222</v>
      </c>
      <c r="I25" s="3" t="s">
        <v>1223</v>
      </c>
      <c r="J25" s="3" t="s">
        <v>1260</v>
      </c>
      <c r="K25" s="3" t="s">
        <v>1340</v>
      </c>
      <c r="L25" s="3" t="s">
        <v>1341</v>
      </c>
      <c r="M25" s="3" t="s">
        <v>1342</v>
      </c>
      <c r="N25" s="3" t="s">
        <v>1343</v>
      </c>
    </row>
    <row r="26" spans="1:14" x14ac:dyDescent="0.45">
      <c r="A26" s="3" t="s">
        <v>350</v>
      </c>
      <c r="B26" s="3" t="s">
        <v>351</v>
      </c>
      <c r="C26" s="3" t="s">
        <v>1344</v>
      </c>
      <c r="D26" s="3" t="s">
        <v>1345</v>
      </c>
      <c r="E26" s="3" t="s">
        <v>1346</v>
      </c>
      <c r="F26" s="79">
        <v>244</v>
      </c>
      <c r="G26" s="3" t="s">
        <v>1221</v>
      </c>
      <c r="H26" s="3" t="s">
        <v>1222</v>
      </c>
      <c r="I26" s="3" t="s">
        <v>1223</v>
      </c>
      <c r="J26" s="3" t="s">
        <v>1260</v>
      </c>
      <c r="K26" s="3" t="s">
        <v>1325</v>
      </c>
      <c r="L26" s="3" t="s">
        <v>1326</v>
      </c>
      <c r="M26" s="3" t="s">
        <v>1327</v>
      </c>
      <c r="N26" s="3" t="s">
        <v>1347</v>
      </c>
    </row>
    <row r="27" spans="1:14" x14ac:dyDescent="0.45">
      <c r="A27" s="3" t="s">
        <v>350</v>
      </c>
      <c r="B27" s="3" t="s">
        <v>351</v>
      </c>
      <c r="C27" s="3" t="s">
        <v>1348</v>
      </c>
      <c r="D27" s="3" t="s">
        <v>1255</v>
      </c>
      <c r="E27" s="3" t="s">
        <v>1346</v>
      </c>
      <c r="F27" s="79">
        <v>680</v>
      </c>
      <c r="G27" s="3" t="s">
        <v>1221</v>
      </c>
      <c r="H27" s="3" t="s">
        <v>1222</v>
      </c>
      <c r="I27" s="3" t="s">
        <v>1223</v>
      </c>
      <c r="J27" s="3" t="s">
        <v>1260</v>
      </c>
      <c r="K27" s="3" t="s">
        <v>1325</v>
      </c>
      <c r="L27" s="3" t="s">
        <v>1326</v>
      </c>
      <c r="M27" s="3" t="s">
        <v>1327</v>
      </c>
      <c r="N27" s="3" t="s">
        <v>1349</v>
      </c>
    </row>
    <row r="28" spans="1:14" x14ac:dyDescent="0.45">
      <c r="A28" s="3" t="s">
        <v>350</v>
      </c>
      <c r="B28" s="3" t="s">
        <v>351</v>
      </c>
      <c r="C28" s="3" t="s">
        <v>1350</v>
      </c>
      <c r="D28" s="3" t="s">
        <v>1351</v>
      </c>
      <c r="E28" s="3" t="s">
        <v>1352</v>
      </c>
      <c r="F28" s="79">
        <v>268</v>
      </c>
      <c r="G28" s="3" t="s">
        <v>1221</v>
      </c>
      <c r="H28" s="3" t="s">
        <v>1222</v>
      </c>
      <c r="I28" s="3" t="s">
        <v>1223</v>
      </c>
      <c r="J28" s="3" t="s">
        <v>1260</v>
      </c>
      <c r="K28" s="3" t="s">
        <v>1333</v>
      </c>
      <c r="L28" s="3" t="s">
        <v>1334</v>
      </c>
      <c r="M28" s="3" t="s">
        <v>1335</v>
      </c>
      <c r="N28" s="3" t="s">
        <v>1353</v>
      </c>
    </row>
    <row r="29" spans="1:14" x14ac:dyDescent="0.45">
      <c r="A29" s="3" t="s">
        <v>350</v>
      </c>
      <c r="B29" s="3" t="s">
        <v>351</v>
      </c>
      <c r="C29" s="3" t="s">
        <v>1354</v>
      </c>
      <c r="D29" s="3" t="s">
        <v>1355</v>
      </c>
      <c r="E29" s="3" t="s">
        <v>1356</v>
      </c>
      <c r="F29" s="79">
        <v>290</v>
      </c>
      <c r="G29" s="3" t="s">
        <v>1221</v>
      </c>
      <c r="H29" s="3" t="s">
        <v>1222</v>
      </c>
      <c r="I29" s="3" t="s">
        <v>1223</v>
      </c>
      <c r="J29" s="3" t="s">
        <v>1260</v>
      </c>
      <c r="K29" s="3" t="s">
        <v>1340</v>
      </c>
      <c r="L29" s="3" t="s">
        <v>1341</v>
      </c>
      <c r="M29" s="3" t="s">
        <v>1342</v>
      </c>
      <c r="N29" s="3" t="s">
        <v>1357</v>
      </c>
    </row>
    <row r="30" spans="1:14" x14ac:dyDescent="0.45">
      <c r="A30" s="3" t="s">
        <v>369</v>
      </c>
      <c r="B30" s="3" t="s">
        <v>370</v>
      </c>
      <c r="C30" s="3" t="s">
        <v>1218</v>
      </c>
      <c r="D30" s="3" t="s">
        <v>1219</v>
      </c>
      <c r="E30" s="3" t="s">
        <v>1220</v>
      </c>
      <c r="F30" s="79">
        <v>644</v>
      </c>
      <c r="G30" s="3" t="s">
        <v>1221</v>
      </c>
      <c r="H30" s="3" t="s">
        <v>1222</v>
      </c>
      <c r="I30" s="3" t="s">
        <v>1358</v>
      </c>
      <c r="J30" s="3" t="s">
        <v>1224</v>
      </c>
      <c r="K30" s="3" t="s">
        <v>1225</v>
      </c>
      <c r="L30" s="3" t="s">
        <v>1226</v>
      </c>
      <c r="M30" s="3" t="s">
        <v>1227</v>
      </c>
      <c r="N30" s="3" t="s">
        <v>1359</v>
      </c>
    </row>
    <row r="31" spans="1:14" x14ac:dyDescent="0.45">
      <c r="A31" s="3" t="s">
        <v>369</v>
      </c>
      <c r="B31" s="3" t="s">
        <v>370</v>
      </c>
      <c r="C31" s="3" t="s">
        <v>1229</v>
      </c>
      <c r="D31" s="3" t="s">
        <v>1230</v>
      </c>
      <c r="E31" s="3" t="s">
        <v>1231</v>
      </c>
      <c r="F31" s="79">
        <v>1406</v>
      </c>
      <c r="G31" s="3" t="s">
        <v>1221</v>
      </c>
      <c r="H31" s="3" t="s">
        <v>1222</v>
      </c>
      <c r="I31" s="3" t="s">
        <v>1358</v>
      </c>
      <c r="J31" s="3" t="s">
        <v>1224</v>
      </c>
      <c r="K31" s="3" t="s">
        <v>1232</v>
      </c>
      <c r="L31" s="3" t="s">
        <v>1233</v>
      </c>
      <c r="M31" s="3" t="s">
        <v>1234</v>
      </c>
      <c r="N31" s="3" t="s">
        <v>1360</v>
      </c>
    </row>
    <row r="32" spans="1:14" x14ac:dyDescent="0.45">
      <c r="A32" s="3" t="s">
        <v>369</v>
      </c>
      <c r="B32" s="3" t="s">
        <v>370</v>
      </c>
      <c r="C32" s="3" t="s">
        <v>1236</v>
      </c>
      <c r="D32" s="3" t="s">
        <v>1237</v>
      </c>
      <c r="E32" s="3" t="s">
        <v>1238</v>
      </c>
      <c r="F32" s="79">
        <v>2268</v>
      </c>
      <c r="G32" s="3" t="s">
        <v>1221</v>
      </c>
      <c r="H32" s="3" t="s">
        <v>1222</v>
      </c>
      <c r="I32" s="3" t="s">
        <v>1358</v>
      </c>
      <c r="J32" s="3" t="s">
        <v>1224</v>
      </c>
      <c r="K32" s="3" t="s">
        <v>1239</v>
      </c>
      <c r="L32" s="3" t="s">
        <v>1240</v>
      </c>
      <c r="M32" s="3" t="s">
        <v>1241</v>
      </c>
      <c r="N32" s="3" t="s">
        <v>1361</v>
      </c>
    </row>
    <row r="33" spans="1:14" x14ac:dyDescent="0.45">
      <c r="A33" s="3" t="s">
        <v>369</v>
      </c>
      <c r="B33" s="3" t="s">
        <v>370</v>
      </c>
      <c r="C33" s="3" t="s">
        <v>1243</v>
      </c>
      <c r="D33" s="3" t="s">
        <v>1244</v>
      </c>
      <c r="E33" s="3" t="s">
        <v>1245</v>
      </c>
      <c r="F33" s="79">
        <v>3189</v>
      </c>
      <c r="G33" s="3" t="s">
        <v>1221</v>
      </c>
      <c r="H33" s="3" t="s">
        <v>1222</v>
      </c>
      <c r="I33" s="3" t="s">
        <v>1358</v>
      </c>
      <c r="J33" s="3" t="s">
        <v>1224</v>
      </c>
      <c r="K33" s="3" t="s">
        <v>1246</v>
      </c>
      <c r="L33" s="3" t="s">
        <v>1247</v>
      </c>
      <c r="M33" s="3" t="s">
        <v>1248</v>
      </c>
      <c r="N33" s="3" t="s">
        <v>1362</v>
      </c>
    </row>
    <row r="34" spans="1:14" x14ac:dyDescent="0.45">
      <c r="A34" s="3" t="s">
        <v>369</v>
      </c>
      <c r="B34" s="3" t="s">
        <v>370</v>
      </c>
      <c r="C34" s="3" t="s">
        <v>1250</v>
      </c>
      <c r="D34" s="3" t="s">
        <v>1251</v>
      </c>
      <c r="E34" s="3" t="s">
        <v>1252</v>
      </c>
      <c r="F34" s="79">
        <v>4053</v>
      </c>
      <c r="G34" s="3" t="s">
        <v>1221</v>
      </c>
      <c r="H34" s="3" t="s">
        <v>1222</v>
      </c>
      <c r="I34" s="3" t="s">
        <v>1358</v>
      </c>
      <c r="J34" s="3" t="s">
        <v>1224</v>
      </c>
      <c r="K34" s="3" t="s">
        <v>1246</v>
      </c>
      <c r="L34" s="3" t="s">
        <v>1247</v>
      </c>
      <c r="M34" s="3" t="s">
        <v>1248</v>
      </c>
      <c r="N34" s="3" t="s">
        <v>1363</v>
      </c>
    </row>
    <row r="35" spans="1:14" x14ac:dyDescent="0.45">
      <c r="A35" s="3" t="s">
        <v>369</v>
      </c>
      <c r="B35" s="3" t="s">
        <v>370</v>
      </c>
      <c r="C35" s="3" t="s">
        <v>1254</v>
      </c>
      <c r="D35" s="3" t="s">
        <v>1255</v>
      </c>
      <c r="E35" s="3" t="s">
        <v>1256</v>
      </c>
      <c r="F35" s="79">
        <v>5037</v>
      </c>
      <c r="G35" s="3" t="s">
        <v>1221</v>
      </c>
      <c r="H35" s="3" t="s">
        <v>1222</v>
      </c>
      <c r="I35" s="3" t="s">
        <v>1358</v>
      </c>
      <c r="J35" s="3" t="s">
        <v>1224</v>
      </c>
      <c r="K35" s="3" t="s">
        <v>1246</v>
      </c>
      <c r="L35" s="3" t="s">
        <v>1247</v>
      </c>
      <c r="M35" s="3" t="s">
        <v>1248</v>
      </c>
      <c r="N35" s="3" t="s">
        <v>1364</v>
      </c>
    </row>
    <row r="36" spans="1:14" x14ac:dyDescent="0.45">
      <c r="A36" s="3" t="s">
        <v>369</v>
      </c>
      <c r="B36" s="3" t="s">
        <v>370</v>
      </c>
      <c r="C36" s="3" t="s">
        <v>1258</v>
      </c>
      <c r="D36" s="3" t="s">
        <v>1230</v>
      </c>
      <c r="E36" s="3" t="s">
        <v>1259</v>
      </c>
      <c r="F36" s="79">
        <v>985</v>
      </c>
      <c r="G36" s="3" t="s">
        <v>1221</v>
      </c>
      <c r="H36" s="3" t="s">
        <v>1222</v>
      </c>
      <c r="I36" s="3" t="s">
        <v>1358</v>
      </c>
      <c r="J36" s="3" t="s">
        <v>1260</v>
      </c>
      <c r="K36" s="3" t="s">
        <v>1261</v>
      </c>
      <c r="L36" s="3" t="s">
        <v>1262</v>
      </c>
      <c r="M36" s="3" t="s">
        <v>1263</v>
      </c>
      <c r="N36" s="3" t="s">
        <v>1365</v>
      </c>
    </row>
    <row r="37" spans="1:14" x14ac:dyDescent="0.45">
      <c r="A37" s="3" t="s">
        <v>369</v>
      </c>
      <c r="B37" s="3" t="s">
        <v>370</v>
      </c>
      <c r="C37" s="3" t="s">
        <v>1265</v>
      </c>
      <c r="D37" s="3" t="s">
        <v>1237</v>
      </c>
      <c r="E37" s="3" t="s">
        <v>1266</v>
      </c>
      <c r="F37" s="79">
        <v>438</v>
      </c>
      <c r="G37" s="3" t="s">
        <v>1221</v>
      </c>
      <c r="H37" s="3" t="s">
        <v>1222</v>
      </c>
      <c r="I37" s="3" t="s">
        <v>1358</v>
      </c>
      <c r="J37" s="3" t="s">
        <v>1260</v>
      </c>
      <c r="K37" s="3" t="s">
        <v>1267</v>
      </c>
      <c r="L37" s="3" t="s">
        <v>1268</v>
      </c>
      <c r="M37" s="3" t="s">
        <v>1269</v>
      </c>
      <c r="N37" s="3" t="s">
        <v>1366</v>
      </c>
    </row>
    <row r="38" spans="1:14" x14ac:dyDescent="0.45">
      <c r="A38" s="3" t="s">
        <v>369</v>
      </c>
      <c r="B38" s="3" t="s">
        <v>370</v>
      </c>
      <c r="C38" s="3" t="s">
        <v>1271</v>
      </c>
      <c r="D38" s="3" t="s">
        <v>1272</v>
      </c>
      <c r="E38" s="3" t="s">
        <v>1273</v>
      </c>
      <c r="F38" s="79">
        <v>562</v>
      </c>
      <c r="G38" s="3" t="s">
        <v>1221</v>
      </c>
      <c r="H38" s="3" t="s">
        <v>1222</v>
      </c>
      <c r="I38" s="3" t="s">
        <v>1358</v>
      </c>
      <c r="J38" s="3" t="s">
        <v>1260</v>
      </c>
      <c r="K38" s="3" t="s">
        <v>1274</v>
      </c>
      <c r="L38" s="3" t="s">
        <v>1275</v>
      </c>
      <c r="M38" s="3" t="s">
        <v>1276</v>
      </c>
      <c r="N38" s="3" t="s">
        <v>1367</v>
      </c>
    </row>
    <row r="39" spans="1:14" x14ac:dyDescent="0.45">
      <c r="A39" s="3" t="s">
        <v>369</v>
      </c>
      <c r="B39" s="3" t="s">
        <v>370</v>
      </c>
      <c r="C39" s="3" t="s">
        <v>1278</v>
      </c>
      <c r="D39" s="3" t="s">
        <v>1279</v>
      </c>
      <c r="E39" s="3" t="s">
        <v>1280</v>
      </c>
      <c r="F39" s="79">
        <v>628</v>
      </c>
      <c r="G39" s="3" t="s">
        <v>1221</v>
      </c>
      <c r="H39" s="3" t="s">
        <v>1222</v>
      </c>
      <c r="I39" s="3" t="s">
        <v>1358</v>
      </c>
      <c r="J39" s="3" t="s">
        <v>1260</v>
      </c>
      <c r="K39" s="3" t="s">
        <v>1281</v>
      </c>
      <c r="L39" s="3" t="s">
        <v>1282</v>
      </c>
      <c r="M39" s="3" t="s">
        <v>1283</v>
      </c>
      <c r="N39" s="3" t="s">
        <v>1368</v>
      </c>
    </row>
    <row r="40" spans="1:14" x14ac:dyDescent="0.45">
      <c r="A40" s="3" t="s">
        <v>369</v>
      </c>
      <c r="B40" s="3" t="s">
        <v>370</v>
      </c>
      <c r="C40" s="3" t="s">
        <v>1285</v>
      </c>
      <c r="D40" s="3" t="s">
        <v>1237</v>
      </c>
      <c r="E40" s="3" t="s">
        <v>1280</v>
      </c>
      <c r="F40" s="79">
        <v>1628</v>
      </c>
      <c r="G40" s="3" t="s">
        <v>1221</v>
      </c>
      <c r="H40" s="3" t="s">
        <v>1222</v>
      </c>
      <c r="I40" s="3" t="s">
        <v>1358</v>
      </c>
      <c r="J40" s="3" t="s">
        <v>1260</v>
      </c>
      <c r="K40" s="3" t="s">
        <v>1281</v>
      </c>
      <c r="L40" s="3" t="s">
        <v>1282</v>
      </c>
      <c r="M40" s="3" t="s">
        <v>1283</v>
      </c>
      <c r="N40" s="3" t="s">
        <v>1369</v>
      </c>
    </row>
    <row r="41" spans="1:14" x14ac:dyDescent="0.45">
      <c r="A41" s="3" t="s">
        <v>369</v>
      </c>
      <c r="B41" s="3" t="s">
        <v>370</v>
      </c>
      <c r="C41" s="3" t="s">
        <v>1287</v>
      </c>
      <c r="D41" s="3" t="s">
        <v>1244</v>
      </c>
      <c r="E41" s="3" t="s">
        <v>1288</v>
      </c>
      <c r="F41" s="79">
        <v>673</v>
      </c>
      <c r="G41" s="3" t="s">
        <v>1221</v>
      </c>
      <c r="H41" s="3" t="s">
        <v>1222</v>
      </c>
      <c r="I41" s="3" t="s">
        <v>1358</v>
      </c>
      <c r="J41" s="3" t="s">
        <v>1260</v>
      </c>
      <c r="K41" s="3" t="s">
        <v>1289</v>
      </c>
      <c r="L41" s="3" t="s">
        <v>1290</v>
      </c>
      <c r="M41" s="3" t="s">
        <v>1291</v>
      </c>
      <c r="N41" s="3" t="s">
        <v>1370</v>
      </c>
    </row>
    <row r="42" spans="1:14" x14ac:dyDescent="0.45">
      <c r="A42" s="3" t="s">
        <v>369</v>
      </c>
      <c r="B42" s="3" t="s">
        <v>370</v>
      </c>
      <c r="C42" s="3" t="s">
        <v>1293</v>
      </c>
      <c r="D42" s="3" t="s">
        <v>1294</v>
      </c>
      <c r="E42" s="3" t="s">
        <v>1295</v>
      </c>
      <c r="F42" s="79">
        <v>808</v>
      </c>
      <c r="G42" s="3" t="s">
        <v>1221</v>
      </c>
      <c r="H42" s="3" t="s">
        <v>1222</v>
      </c>
      <c r="I42" s="3" t="s">
        <v>1358</v>
      </c>
      <c r="J42" s="3" t="s">
        <v>1260</v>
      </c>
      <c r="K42" s="3" t="s">
        <v>1296</v>
      </c>
      <c r="L42" s="3" t="s">
        <v>1297</v>
      </c>
      <c r="M42" s="3" t="s">
        <v>1298</v>
      </c>
      <c r="N42" s="3" t="s">
        <v>1371</v>
      </c>
    </row>
    <row r="43" spans="1:14" x14ac:dyDescent="0.45">
      <c r="A43" s="3" t="s">
        <v>369</v>
      </c>
      <c r="B43" s="3" t="s">
        <v>370</v>
      </c>
      <c r="C43" s="3" t="s">
        <v>1300</v>
      </c>
      <c r="D43" s="3" t="s">
        <v>1301</v>
      </c>
      <c r="E43" s="3" t="s">
        <v>1302</v>
      </c>
      <c r="F43" s="79">
        <v>856</v>
      </c>
      <c r="G43" s="3" t="s">
        <v>1221</v>
      </c>
      <c r="H43" s="3" t="s">
        <v>1222</v>
      </c>
      <c r="I43" s="3" t="s">
        <v>1358</v>
      </c>
      <c r="J43" s="3" t="s">
        <v>1260</v>
      </c>
      <c r="K43" s="3" t="s">
        <v>1303</v>
      </c>
      <c r="L43" s="3" t="s">
        <v>1304</v>
      </c>
      <c r="M43" s="3" t="s">
        <v>1305</v>
      </c>
      <c r="N43" s="3" t="s">
        <v>1372</v>
      </c>
    </row>
    <row r="44" spans="1:14" x14ac:dyDescent="0.45">
      <c r="A44" s="3" t="s">
        <v>369</v>
      </c>
      <c r="B44" s="3" t="s">
        <v>370</v>
      </c>
      <c r="C44" s="3" t="s">
        <v>1307</v>
      </c>
      <c r="D44" s="3" t="s">
        <v>1244</v>
      </c>
      <c r="E44" s="3" t="s">
        <v>1302</v>
      </c>
      <c r="F44" s="79">
        <v>2338</v>
      </c>
      <c r="G44" s="3" t="s">
        <v>1221</v>
      </c>
      <c r="H44" s="3" t="s">
        <v>1222</v>
      </c>
      <c r="I44" s="3" t="s">
        <v>1358</v>
      </c>
      <c r="J44" s="3" t="s">
        <v>1260</v>
      </c>
      <c r="K44" s="3" t="s">
        <v>1303</v>
      </c>
      <c r="L44" s="3" t="s">
        <v>1304</v>
      </c>
      <c r="M44" s="3" t="s">
        <v>1305</v>
      </c>
      <c r="N44" s="3" t="s">
        <v>1373</v>
      </c>
    </row>
    <row r="45" spans="1:14" x14ac:dyDescent="0.45">
      <c r="A45" s="3" t="s">
        <v>369</v>
      </c>
      <c r="B45" s="3" t="s">
        <v>370</v>
      </c>
      <c r="C45" s="3" t="s">
        <v>1309</v>
      </c>
      <c r="D45" s="3" t="s">
        <v>1251</v>
      </c>
      <c r="E45" s="3" t="s">
        <v>1310</v>
      </c>
      <c r="F45" s="79">
        <v>873</v>
      </c>
      <c r="G45" s="3" t="s">
        <v>1221</v>
      </c>
      <c r="H45" s="3" t="s">
        <v>1222</v>
      </c>
      <c r="I45" s="3" t="s">
        <v>1358</v>
      </c>
      <c r="J45" s="3" t="s">
        <v>1260</v>
      </c>
      <c r="K45" s="3" t="s">
        <v>1311</v>
      </c>
      <c r="L45" s="3" t="s">
        <v>1312</v>
      </c>
      <c r="M45" s="3" t="s">
        <v>1313</v>
      </c>
      <c r="N45" s="3" t="s">
        <v>1374</v>
      </c>
    </row>
    <row r="46" spans="1:14" x14ac:dyDescent="0.45">
      <c r="A46" s="3" t="s">
        <v>369</v>
      </c>
      <c r="B46" s="3" t="s">
        <v>370</v>
      </c>
      <c r="C46" s="3" t="s">
        <v>1315</v>
      </c>
      <c r="D46" s="3" t="s">
        <v>1316</v>
      </c>
      <c r="E46" s="3" t="s">
        <v>1317</v>
      </c>
      <c r="F46" s="79">
        <v>1023</v>
      </c>
      <c r="G46" s="3" t="s">
        <v>1221</v>
      </c>
      <c r="H46" s="3" t="s">
        <v>1222</v>
      </c>
      <c r="I46" s="3" t="s">
        <v>1358</v>
      </c>
      <c r="J46" s="3" t="s">
        <v>1260</v>
      </c>
      <c r="K46" s="3" t="s">
        <v>1318</v>
      </c>
      <c r="L46" s="3" t="s">
        <v>1319</v>
      </c>
      <c r="M46" s="3" t="s">
        <v>1320</v>
      </c>
      <c r="N46" s="3" t="s">
        <v>1375</v>
      </c>
    </row>
    <row r="47" spans="1:14" x14ac:dyDescent="0.45">
      <c r="A47" s="3" t="s">
        <v>369</v>
      </c>
      <c r="B47" s="3" t="s">
        <v>370</v>
      </c>
      <c r="C47" s="3" t="s">
        <v>1322</v>
      </c>
      <c r="D47" s="3" t="s">
        <v>1323</v>
      </c>
      <c r="E47" s="3" t="s">
        <v>1324</v>
      </c>
      <c r="F47" s="79">
        <v>1067</v>
      </c>
      <c r="G47" s="3" t="s">
        <v>1221</v>
      </c>
      <c r="H47" s="3" t="s">
        <v>1222</v>
      </c>
      <c r="I47" s="3" t="s">
        <v>1358</v>
      </c>
      <c r="J47" s="3" t="s">
        <v>1260</v>
      </c>
      <c r="K47" s="3" t="s">
        <v>1325</v>
      </c>
      <c r="L47" s="3" t="s">
        <v>1326</v>
      </c>
      <c r="M47" s="3" t="s">
        <v>1327</v>
      </c>
      <c r="N47" s="3" t="s">
        <v>1376</v>
      </c>
    </row>
    <row r="48" spans="1:14" x14ac:dyDescent="0.45">
      <c r="A48" s="3" t="s">
        <v>369</v>
      </c>
      <c r="B48" s="3" t="s">
        <v>370</v>
      </c>
      <c r="C48" s="3" t="s">
        <v>1329</v>
      </c>
      <c r="D48" s="3" t="s">
        <v>1251</v>
      </c>
      <c r="E48" s="3" t="s">
        <v>1324</v>
      </c>
      <c r="F48" s="79">
        <v>2963</v>
      </c>
      <c r="G48" s="3" t="s">
        <v>1221</v>
      </c>
      <c r="H48" s="3" t="s">
        <v>1222</v>
      </c>
      <c r="I48" s="3" t="s">
        <v>1358</v>
      </c>
      <c r="J48" s="3" t="s">
        <v>1260</v>
      </c>
      <c r="K48" s="3" t="s">
        <v>1325</v>
      </c>
      <c r="L48" s="3" t="s">
        <v>1326</v>
      </c>
      <c r="M48" s="3" t="s">
        <v>1327</v>
      </c>
      <c r="N48" s="3" t="s">
        <v>1377</v>
      </c>
    </row>
    <row r="49" spans="1:14" x14ac:dyDescent="0.45">
      <c r="A49" s="3" t="s">
        <v>369</v>
      </c>
      <c r="B49" s="3" t="s">
        <v>370</v>
      </c>
      <c r="C49" s="3" t="s">
        <v>1331</v>
      </c>
      <c r="D49" s="3" t="s">
        <v>1255</v>
      </c>
      <c r="E49" s="3" t="s">
        <v>1332</v>
      </c>
      <c r="F49" s="79">
        <v>1082</v>
      </c>
      <c r="G49" s="3" t="s">
        <v>1221</v>
      </c>
      <c r="H49" s="3" t="s">
        <v>1222</v>
      </c>
      <c r="I49" s="3" t="s">
        <v>1358</v>
      </c>
      <c r="J49" s="3" t="s">
        <v>1260</v>
      </c>
      <c r="K49" s="3" t="s">
        <v>1333</v>
      </c>
      <c r="L49" s="3" t="s">
        <v>1334</v>
      </c>
      <c r="M49" s="3" t="s">
        <v>1335</v>
      </c>
      <c r="N49" s="3" t="s">
        <v>1378</v>
      </c>
    </row>
    <row r="50" spans="1:14" x14ac:dyDescent="0.45">
      <c r="A50" s="3" t="s">
        <v>369</v>
      </c>
      <c r="B50" s="3" t="s">
        <v>370</v>
      </c>
      <c r="C50" s="3" t="s">
        <v>1337</v>
      </c>
      <c r="D50" s="3" t="s">
        <v>1338</v>
      </c>
      <c r="E50" s="3" t="s">
        <v>1339</v>
      </c>
      <c r="F50" s="79">
        <v>1276</v>
      </c>
      <c r="G50" s="3" t="s">
        <v>1221</v>
      </c>
      <c r="H50" s="3" t="s">
        <v>1222</v>
      </c>
      <c r="I50" s="3" t="s">
        <v>1358</v>
      </c>
      <c r="J50" s="3" t="s">
        <v>1260</v>
      </c>
      <c r="K50" s="3" t="s">
        <v>1340</v>
      </c>
      <c r="L50" s="3" t="s">
        <v>1341</v>
      </c>
      <c r="M50" s="3" t="s">
        <v>1342</v>
      </c>
      <c r="N50" s="3" t="s">
        <v>1379</v>
      </c>
    </row>
    <row r="51" spans="1:14" x14ac:dyDescent="0.45">
      <c r="A51" s="3" t="s">
        <v>369</v>
      </c>
      <c r="B51" s="3" t="s">
        <v>370</v>
      </c>
      <c r="C51" s="3" t="s">
        <v>1344</v>
      </c>
      <c r="D51" s="3" t="s">
        <v>1345</v>
      </c>
      <c r="E51" s="3" t="s">
        <v>1346</v>
      </c>
      <c r="F51" s="79">
        <v>1345</v>
      </c>
      <c r="G51" s="3" t="s">
        <v>1221</v>
      </c>
      <c r="H51" s="3" t="s">
        <v>1222</v>
      </c>
      <c r="I51" s="3" t="s">
        <v>1358</v>
      </c>
      <c r="J51" s="3" t="s">
        <v>1260</v>
      </c>
      <c r="K51" s="3" t="s">
        <v>1325</v>
      </c>
      <c r="L51" s="3" t="s">
        <v>1326</v>
      </c>
      <c r="M51" s="3" t="s">
        <v>1327</v>
      </c>
      <c r="N51" s="3" t="s">
        <v>1380</v>
      </c>
    </row>
    <row r="52" spans="1:14" x14ac:dyDescent="0.45">
      <c r="A52" s="3" t="s">
        <v>369</v>
      </c>
      <c r="B52" s="3" t="s">
        <v>370</v>
      </c>
      <c r="C52" s="3" t="s">
        <v>1348</v>
      </c>
      <c r="D52" s="3" t="s">
        <v>1255</v>
      </c>
      <c r="E52" s="3" t="s">
        <v>1346</v>
      </c>
      <c r="F52" s="79">
        <v>3703</v>
      </c>
      <c r="G52" s="3" t="s">
        <v>1221</v>
      </c>
      <c r="H52" s="3" t="s">
        <v>1222</v>
      </c>
      <c r="I52" s="3" t="s">
        <v>1358</v>
      </c>
      <c r="J52" s="3" t="s">
        <v>1260</v>
      </c>
      <c r="K52" s="3" t="s">
        <v>1325</v>
      </c>
      <c r="L52" s="3" t="s">
        <v>1326</v>
      </c>
      <c r="M52" s="3" t="s">
        <v>1327</v>
      </c>
      <c r="N52" s="3" t="s">
        <v>1381</v>
      </c>
    </row>
    <row r="53" spans="1:14" x14ac:dyDescent="0.45">
      <c r="A53" s="3" t="s">
        <v>369</v>
      </c>
      <c r="B53" s="3" t="s">
        <v>370</v>
      </c>
      <c r="C53" s="3" t="s">
        <v>1350</v>
      </c>
      <c r="D53" s="3" t="s">
        <v>1351</v>
      </c>
      <c r="E53" s="3" t="s">
        <v>1352</v>
      </c>
      <c r="F53" s="79">
        <v>1323</v>
      </c>
      <c r="G53" s="3" t="s">
        <v>1221</v>
      </c>
      <c r="H53" s="3" t="s">
        <v>1222</v>
      </c>
      <c r="I53" s="3" t="s">
        <v>1358</v>
      </c>
      <c r="J53" s="3" t="s">
        <v>1260</v>
      </c>
      <c r="K53" s="3" t="s">
        <v>1333</v>
      </c>
      <c r="L53" s="3" t="s">
        <v>1334</v>
      </c>
      <c r="M53" s="3" t="s">
        <v>1335</v>
      </c>
      <c r="N53" s="3" t="s">
        <v>1382</v>
      </c>
    </row>
    <row r="54" spans="1:14" x14ac:dyDescent="0.45">
      <c r="A54" s="3" t="s">
        <v>369</v>
      </c>
      <c r="B54" s="3" t="s">
        <v>370</v>
      </c>
      <c r="C54" s="3" t="s">
        <v>1354</v>
      </c>
      <c r="D54" s="3" t="s">
        <v>1355</v>
      </c>
      <c r="E54" s="3" t="s">
        <v>1356</v>
      </c>
      <c r="F54" s="79">
        <v>1570</v>
      </c>
      <c r="G54" s="3" t="s">
        <v>1221</v>
      </c>
      <c r="H54" s="3" t="s">
        <v>1222</v>
      </c>
      <c r="I54" s="3" t="s">
        <v>1358</v>
      </c>
      <c r="J54" s="3" t="s">
        <v>1260</v>
      </c>
      <c r="K54" s="3" t="s">
        <v>1340</v>
      </c>
      <c r="L54" s="3" t="s">
        <v>1341</v>
      </c>
      <c r="M54" s="3" t="s">
        <v>1342</v>
      </c>
      <c r="N54" s="3" t="s">
        <v>1383</v>
      </c>
    </row>
    <row r="55" spans="1:14" x14ac:dyDescent="0.45">
      <c r="A55" s="3" t="s">
        <v>384</v>
      </c>
      <c r="B55" s="3" t="s">
        <v>69</v>
      </c>
      <c r="C55" s="3" t="s">
        <v>1218</v>
      </c>
      <c r="D55" s="3" t="s">
        <v>1219</v>
      </c>
      <c r="E55" s="3" t="s">
        <v>1220</v>
      </c>
      <c r="F55" s="79">
        <v>823</v>
      </c>
      <c r="G55" s="3" t="s">
        <v>1221</v>
      </c>
      <c r="H55" s="3" t="s">
        <v>1222</v>
      </c>
      <c r="I55" s="3"/>
      <c r="J55" s="3" t="s">
        <v>1224</v>
      </c>
      <c r="K55" s="3" t="s">
        <v>1225</v>
      </c>
      <c r="L55" s="3" t="s">
        <v>1226</v>
      </c>
      <c r="M55" s="3" t="s">
        <v>1227</v>
      </c>
      <c r="N55" s="3" t="s">
        <v>1384</v>
      </c>
    </row>
    <row r="56" spans="1:14" x14ac:dyDescent="0.45">
      <c r="A56" s="3" t="s">
        <v>384</v>
      </c>
      <c r="B56" s="3" t="s">
        <v>69</v>
      </c>
      <c r="C56" s="3" t="s">
        <v>1229</v>
      </c>
      <c r="D56" s="3" t="s">
        <v>1230</v>
      </c>
      <c r="E56" s="3" t="s">
        <v>1231</v>
      </c>
      <c r="F56" s="79">
        <v>1705</v>
      </c>
      <c r="G56" s="3" t="s">
        <v>1221</v>
      </c>
      <c r="H56" s="3" t="s">
        <v>1222</v>
      </c>
      <c r="I56" s="3"/>
      <c r="J56" s="3" t="s">
        <v>1224</v>
      </c>
      <c r="K56" s="3" t="s">
        <v>1232</v>
      </c>
      <c r="L56" s="3" t="s">
        <v>1233</v>
      </c>
      <c r="M56" s="3" t="s">
        <v>1234</v>
      </c>
      <c r="N56" s="3" t="s">
        <v>1385</v>
      </c>
    </row>
    <row r="57" spans="1:14" x14ac:dyDescent="0.45">
      <c r="A57" s="3" t="s">
        <v>384</v>
      </c>
      <c r="B57" s="3" t="s">
        <v>69</v>
      </c>
      <c r="C57" s="3" t="s">
        <v>1236</v>
      </c>
      <c r="D57" s="3" t="s">
        <v>1237</v>
      </c>
      <c r="E57" s="3" t="s">
        <v>1238</v>
      </c>
      <c r="F57" s="79">
        <v>2731</v>
      </c>
      <c r="G57" s="3" t="s">
        <v>1221</v>
      </c>
      <c r="H57" s="3" t="s">
        <v>1222</v>
      </c>
      <c r="I57" s="3"/>
      <c r="J57" s="3" t="s">
        <v>1224</v>
      </c>
      <c r="K57" s="3" t="s">
        <v>1239</v>
      </c>
      <c r="L57" s="3" t="s">
        <v>1240</v>
      </c>
      <c r="M57" s="3" t="s">
        <v>1241</v>
      </c>
      <c r="N57" s="3" t="s">
        <v>1386</v>
      </c>
    </row>
    <row r="58" spans="1:14" x14ac:dyDescent="0.45">
      <c r="A58" s="3" t="s">
        <v>384</v>
      </c>
      <c r="B58" s="3" t="s">
        <v>69</v>
      </c>
      <c r="C58" s="3" t="s">
        <v>1243</v>
      </c>
      <c r="D58" s="3" t="s">
        <v>1244</v>
      </c>
      <c r="E58" s="3" t="s">
        <v>1245</v>
      </c>
      <c r="F58" s="79">
        <v>3865</v>
      </c>
      <c r="G58" s="3" t="s">
        <v>1221</v>
      </c>
      <c r="H58" s="3" t="s">
        <v>1222</v>
      </c>
      <c r="I58" s="3"/>
      <c r="J58" s="3" t="s">
        <v>1224</v>
      </c>
      <c r="K58" s="3" t="s">
        <v>1246</v>
      </c>
      <c r="L58" s="3" t="s">
        <v>1247</v>
      </c>
      <c r="M58" s="3" t="s">
        <v>1248</v>
      </c>
      <c r="N58" s="3" t="s">
        <v>1387</v>
      </c>
    </row>
    <row r="59" spans="1:14" x14ac:dyDescent="0.45">
      <c r="A59" s="3" t="s">
        <v>384</v>
      </c>
      <c r="B59" s="3" t="s">
        <v>69</v>
      </c>
      <c r="C59" s="3" t="s">
        <v>1250</v>
      </c>
      <c r="D59" s="3" t="s">
        <v>1251</v>
      </c>
      <c r="E59" s="3" t="s">
        <v>1252</v>
      </c>
      <c r="F59" s="79">
        <v>4960</v>
      </c>
      <c r="G59" s="3" t="s">
        <v>1221</v>
      </c>
      <c r="H59" s="3" t="s">
        <v>1222</v>
      </c>
      <c r="I59" s="3"/>
      <c r="J59" s="3" t="s">
        <v>1224</v>
      </c>
      <c r="K59" s="3" t="s">
        <v>1246</v>
      </c>
      <c r="L59" s="3" t="s">
        <v>1247</v>
      </c>
      <c r="M59" s="3" t="s">
        <v>1248</v>
      </c>
      <c r="N59" s="3" t="s">
        <v>1388</v>
      </c>
    </row>
    <row r="60" spans="1:14" x14ac:dyDescent="0.45">
      <c r="A60" s="3" t="s">
        <v>384</v>
      </c>
      <c r="B60" s="3" t="s">
        <v>69</v>
      </c>
      <c r="C60" s="3" t="s">
        <v>1254</v>
      </c>
      <c r="D60" s="3" t="s">
        <v>1255</v>
      </c>
      <c r="E60" s="3" t="s">
        <v>1256</v>
      </c>
      <c r="F60" s="79">
        <v>6153</v>
      </c>
      <c r="G60" s="3" t="s">
        <v>1221</v>
      </c>
      <c r="H60" s="3" t="s">
        <v>1222</v>
      </c>
      <c r="I60" s="3"/>
      <c r="J60" s="3" t="s">
        <v>1224</v>
      </c>
      <c r="K60" s="3" t="s">
        <v>1246</v>
      </c>
      <c r="L60" s="3" t="s">
        <v>1247</v>
      </c>
      <c r="M60" s="3" t="s">
        <v>1248</v>
      </c>
      <c r="N60" s="3" t="s">
        <v>1389</v>
      </c>
    </row>
    <row r="61" spans="1:14" x14ac:dyDescent="0.45">
      <c r="A61" s="3" t="s">
        <v>384</v>
      </c>
      <c r="B61" s="3" t="s">
        <v>69</v>
      </c>
      <c r="C61" s="3" t="s">
        <v>1258</v>
      </c>
      <c r="D61" s="3" t="s">
        <v>1230</v>
      </c>
      <c r="E61" s="3" t="s">
        <v>1259</v>
      </c>
      <c r="F61" s="79">
        <v>1193</v>
      </c>
      <c r="G61" s="3" t="s">
        <v>1221</v>
      </c>
      <c r="H61" s="3" t="s">
        <v>1222</v>
      </c>
      <c r="I61" s="3"/>
      <c r="J61" s="3" t="s">
        <v>1260</v>
      </c>
      <c r="K61" s="3" t="s">
        <v>1261</v>
      </c>
      <c r="L61" s="3" t="s">
        <v>1262</v>
      </c>
      <c r="M61" s="3" t="s">
        <v>1263</v>
      </c>
      <c r="N61" s="3" t="s">
        <v>1390</v>
      </c>
    </row>
    <row r="62" spans="1:14" x14ac:dyDescent="0.45">
      <c r="A62" s="3" t="s">
        <v>384</v>
      </c>
      <c r="B62" s="3" t="s">
        <v>69</v>
      </c>
      <c r="C62" s="3" t="s">
        <v>1265</v>
      </c>
      <c r="D62" s="3" t="s">
        <v>1237</v>
      </c>
      <c r="E62" s="3" t="s">
        <v>1266</v>
      </c>
      <c r="F62" s="79">
        <v>535</v>
      </c>
      <c r="G62" s="3" t="s">
        <v>1221</v>
      </c>
      <c r="H62" s="3" t="s">
        <v>1222</v>
      </c>
      <c r="I62" s="3"/>
      <c r="J62" s="3" t="s">
        <v>1260</v>
      </c>
      <c r="K62" s="3" t="s">
        <v>1267</v>
      </c>
      <c r="L62" s="3" t="s">
        <v>1268</v>
      </c>
      <c r="M62" s="3" t="s">
        <v>1269</v>
      </c>
      <c r="N62" s="3" t="s">
        <v>1391</v>
      </c>
    </row>
    <row r="63" spans="1:14" x14ac:dyDescent="0.45">
      <c r="A63" s="3" t="s">
        <v>384</v>
      </c>
      <c r="B63" s="3" t="s">
        <v>69</v>
      </c>
      <c r="C63" s="3" t="s">
        <v>1271</v>
      </c>
      <c r="D63" s="3" t="s">
        <v>1272</v>
      </c>
      <c r="E63" s="3" t="s">
        <v>1273</v>
      </c>
      <c r="F63" s="79">
        <v>675</v>
      </c>
      <c r="G63" s="3" t="s">
        <v>1221</v>
      </c>
      <c r="H63" s="3" t="s">
        <v>1222</v>
      </c>
      <c r="I63" s="3"/>
      <c r="J63" s="3" t="s">
        <v>1260</v>
      </c>
      <c r="K63" s="3" t="s">
        <v>1274</v>
      </c>
      <c r="L63" s="3" t="s">
        <v>1275</v>
      </c>
      <c r="M63" s="3" t="s">
        <v>1276</v>
      </c>
      <c r="N63" s="3" t="s">
        <v>1392</v>
      </c>
    </row>
    <row r="64" spans="1:14" x14ac:dyDescent="0.45">
      <c r="A64" s="3" t="s">
        <v>384</v>
      </c>
      <c r="B64" s="3" t="s">
        <v>69</v>
      </c>
      <c r="C64" s="3" t="s">
        <v>1278</v>
      </c>
      <c r="D64" s="3" t="s">
        <v>1279</v>
      </c>
      <c r="E64" s="3" t="s">
        <v>1280</v>
      </c>
      <c r="F64" s="79">
        <v>752</v>
      </c>
      <c r="G64" s="3" t="s">
        <v>1221</v>
      </c>
      <c r="H64" s="3" t="s">
        <v>1222</v>
      </c>
      <c r="I64" s="3"/>
      <c r="J64" s="3" t="s">
        <v>1260</v>
      </c>
      <c r="K64" s="3" t="s">
        <v>1281</v>
      </c>
      <c r="L64" s="3" t="s">
        <v>1282</v>
      </c>
      <c r="M64" s="3" t="s">
        <v>1283</v>
      </c>
      <c r="N64" s="3" t="s">
        <v>1393</v>
      </c>
    </row>
    <row r="65" spans="1:14" x14ac:dyDescent="0.45">
      <c r="A65" s="3" t="s">
        <v>384</v>
      </c>
      <c r="B65" s="3" t="s">
        <v>69</v>
      </c>
      <c r="C65" s="3" t="s">
        <v>1285</v>
      </c>
      <c r="D65" s="3" t="s">
        <v>1237</v>
      </c>
      <c r="E65" s="3" t="s">
        <v>1280</v>
      </c>
      <c r="F65" s="79">
        <v>1963</v>
      </c>
      <c r="G65" s="3" t="s">
        <v>1221</v>
      </c>
      <c r="H65" s="3" t="s">
        <v>1222</v>
      </c>
      <c r="I65" s="3"/>
      <c r="J65" s="3" t="s">
        <v>1260</v>
      </c>
      <c r="K65" s="3" t="s">
        <v>1281</v>
      </c>
      <c r="L65" s="3" t="s">
        <v>1282</v>
      </c>
      <c r="M65" s="3" t="s">
        <v>1283</v>
      </c>
      <c r="N65" s="3" t="s">
        <v>1394</v>
      </c>
    </row>
    <row r="66" spans="1:14" x14ac:dyDescent="0.45">
      <c r="A66" s="3" t="s">
        <v>384</v>
      </c>
      <c r="B66" s="3" t="s">
        <v>69</v>
      </c>
      <c r="C66" s="3" t="s">
        <v>1287</v>
      </c>
      <c r="D66" s="3" t="s">
        <v>1244</v>
      </c>
      <c r="E66" s="3" t="s">
        <v>1288</v>
      </c>
      <c r="F66" s="79">
        <v>819</v>
      </c>
      <c r="G66" s="3" t="s">
        <v>1221</v>
      </c>
      <c r="H66" s="3" t="s">
        <v>1222</v>
      </c>
      <c r="I66" s="3"/>
      <c r="J66" s="3" t="s">
        <v>1260</v>
      </c>
      <c r="K66" s="3" t="s">
        <v>1289</v>
      </c>
      <c r="L66" s="3" t="s">
        <v>1290</v>
      </c>
      <c r="M66" s="3" t="s">
        <v>1291</v>
      </c>
      <c r="N66" s="3" t="s">
        <v>1395</v>
      </c>
    </row>
    <row r="67" spans="1:14" x14ac:dyDescent="0.45">
      <c r="A67" s="3" t="s">
        <v>384</v>
      </c>
      <c r="B67" s="3" t="s">
        <v>69</v>
      </c>
      <c r="C67" s="3" t="s">
        <v>1293</v>
      </c>
      <c r="D67" s="3" t="s">
        <v>1294</v>
      </c>
      <c r="E67" s="3" t="s">
        <v>1295</v>
      </c>
      <c r="F67" s="79">
        <v>978</v>
      </c>
      <c r="G67" s="3" t="s">
        <v>1221</v>
      </c>
      <c r="H67" s="3" t="s">
        <v>1222</v>
      </c>
      <c r="I67" s="3"/>
      <c r="J67" s="3" t="s">
        <v>1260</v>
      </c>
      <c r="K67" s="3" t="s">
        <v>1296</v>
      </c>
      <c r="L67" s="3" t="s">
        <v>1297</v>
      </c>
      <c r="M67" s="3" t="s">
        <v>1298</v>
      </c>
      <c r="N67" s="3" t="s">
        <v>1396</v>
      </c>
    </row>
    <row r="68" spans="1:14" x14ac:dyDescent="0.45">
      <c r="A68" s="3" t="s">
        <v>384</v>
      </c>
      <c r="B68" s="3" t="s">
        <v>69</v>
      </c>
      <c r="C68" s="3" t="s">
        <v>1300</v>
      </c>
      <c r="D68" s="3" t="s">
        <v>1301</v>
      </c>
      <c r="E68" s="3" t="s">
        <v>1302</v>
      </c>
      <c r="F68" s="79">
        <v>1032</v>
      </c>
      <c r="G68" s="3" t="s">
        <v>1221</v>
      </c>
      <c r="H68" s="3" t="s">
        <v>1222</v>
      </c>
      <c r="I68" s="3"/>
      <c r="J68" s="3" t="s">
        <v>1260</v>
      </c>
      <c r="K68" s="3" t="s">
        <v>1303</v>
      </c>
      <c r="L68" s="3" t="s">
        <v>1304</v>
      </c>
      <c r="M68" s="3" t="s">
        <v>1305</v>
      </c>
      <c r="N68" s="3" t="s">
        <v>1397</v>
      </c>
    </row>
    <row r="69" spans="1:14" x14ac:dyDescent="0.45">
      <c r="A69" s="3" t="s">
        <v>384</v>
      </c>
      <c r="B69" s="3" t="s">
        <v>69</v>
      </c>
      <c r="C69" s="3" t="s">
        <v>1307</v>
      </c>
      <c r="D69" s="3" t="s">
        <v>1244</v>
      </c>
      <c r="E69" s="3" t="s">
        <v>1302</v>
      </c>
      <c r="F69" s="79">
        <v>2829</v>
      </c>
      <c r="G69" s="3" t="s">
        <v>1221</v>
      </c>
      <c r="H69" s="3" t="s">
        <v>1222</v>
      </c>
      <c r="I69" s="3"/>
      <c r="J69" s="3" t="s">
        <v>1260</v>
      </c>
      <c r="K69" s="3" t="s">
        <v>1303</v>
      </c>
      <c r="L69" s="3" t="s">
        <v>1304</v>
      </c>
      <c r="M69" s="3" t="s">
        <v>1305</v>
      </c>
      <c r="N69" s="3" t="s">
        <v>1398</v>
      </c>
    </row>
    <row r="70" spans="1:14" x14ac:dyDescent="0.45">
      <c r="A70" s="3" t="s">
        <v>384</v>
      </c>
      <c r="B70" s="3" t="s">
        <v>69</v>
      </c>
      <c r="C70" s="3" t="s">
        <v>1309</v>
      </c>
      <c r="D70" s="3" t="s">
        <v>1251</v>
      </c>
      <c r="E70" s="3" t="s">
        <v>1310</v>
      </c>
      <c r="F70" s="79">
        <v>1075</v>
      </c>
      <c r="G70" s="3" t="s">
        <v>1221</v>
      </c>
      <c r="H70" s="3" t="s">
        <v>1222</v>
      </c>
      <c r="I70" s="3"/>
      <c r="J70" s="3" t="s">
        <v>1260</v>
      </c>
      <c r="K70" s="3" t="s">
        <v>1311</v>
      </c>
      <c r="L70" s="3" t="s">
        <v>1312</v>
      </c>
      <c r="M70" s="3" t="s">
        <v>1313</v>
      </c>
      <c r="N70" s="3" t="s">
        <v>1399</v>
      </c>
    </row>
    <row r="71" spans="1:14" x14ac:dyDescent="0.45">
      <c r="A71" s="3" t="s">
        <v>384</v>
      </c>
      <c r="B71" s="3" t="s">
        <v>69</v>
      </c>
      <c r="C71" s="3" t="s">
        <v>1315</v>
      </c>
      <c r="D71" s="3" t="s">
        <v>1316</v>
      </c>
      <c r="E71" s="3" t="s">
        <v>1317</v>
      </c>
      <c r="F71" s="79">
        <v>1242</v>
      </c>
      <c r="G71" s="3" t="s">
        <v>1221</v>
      </c>
      <c r="H71" s="3" t="s">
        <v>1222</v>
      </c>
      <c r="I71" s="3"/>
      <c r="J71" s="3" t="s">
        <v>1260</v>
      </c>
      <c r="K71" s="3" t="s">
        <v>1318</v>
      </c>
      <c r="L71" s="3" t="s">
        <v>1319</v>
      </c>
      <c r="M71" s="3" t="s">
        <v>1320</v>
      </c>
      <c r="N71" s="3" t="s">
        <v>1400</v>
      </c>
    </row>
    <row r="72" spans="1:14" x14ac:dyDescent="0.45">
      <c r="A72" s="3" t="s">
        <v>384</v>
      </c>
      <c r="B72" s="3" t="s">
        <v>69</v>
      </c>
      <c r="C72" s="3" t="s">
        <v>1322</v>
      </c>
      <c r="D72" s="3" t="s">
        <v>1323</v>
      </c>
      <c r="E72" s="3" t="s">
        <v>1324</v>
      </c>
      <c r="F72" s="79">
        <v>1305</v>
      </c>
      <c r="G72" s="3" t="s">
        <v>1221</v>
      </c>
      <c r="H72" s="3" t="s">
        <v>1222</v>
      </c>
      <c r="I72" s="3"/>
      <c r="J72" s="3" t="s">
        <v>1260</v>
      </c>
      <c r="K72" s="3" t="s">
        <v>1325</v>
      </c>
      <c r="L72" s="3" t="s">
        <v>1326</v>
      </c>
      <c r="M72" s="3" t="s">
        <v>1327</v>
      </c>
      <c r="N72" s="3" t="s">
        <v>1401</v>
      </c>
    </row>
    <row r="73" spans="1:14" x14ac:dyDescent="0.45">
      <c r="A73" s="3" t="s">
        <v>384</v>
      </c>
      <c r="B73" s="3" t="s">
        <v>69</v>
      </c>
      <c r="C73" s="3" t="s">
        <v>1329</v>
      </c>
      <c r="D73" s="3" t="s">
        <v>1251</v>
      </c>
      <c r="E73" s="3" t="s">
        <v>1324</v>
      </c>
      <c r="F73" s="79">
        <v>3622</v>
      </c>
      <c r="G73" s="3" t="s">
        <v>1221</v>
      </c>
      <c r="H73" s="3" t="s">
        <v>1222</v>
      </c>
      <c r="I73" s="3"/>
      <c r="J73" s="3" t="s">
        <v>1260</v>
      </c>
      <c r="K73" s="3" t="s">
        <v>1325</v>
      </c>
      <c r="L73" s="3" t="s">
        <v>1326</v>
      </c>
      <c r="M73" s="3" t="s">
        <v>1327</v>
      </c>
      <c r="N73" s="3" t="s">
        <v>1402</v>
      </c>
    </row>
    <row r="74" spans="1:14" x14ac:dyDescent="0.45">
      <c r="A74" s="3" t="s">
        <v>384</v>
      </c>
      <c r="B74" s="3" t="s">
        <v>69</v>
      </c>
      <c r="C74" s="3" t="s">
        <v>1331</v>
      </c>
      <c r="D74" s="3" t="s">
        <v>1255</v>
      </c>
      <c r="E74" s="3" t="s">
        <v>1332</v>
      </c>
      <c r="F74" s="79">
        <v>1337</v>
      </c>
      <c r="G74" s="3" t="s">
        <v>1221</v>
      </c>
      <c r="H74" s="3" t="s">
        <v>1222</v>
      </c>
      <c r="I74" s="3"/>
      <c r="J74" s="3" t="s">
        <v>1260</v>
      </c>
      <c r="K74" s="3" t="s">
        <v>1333</v>
      </c>
      <c r="L74" s="3" t="s">
        <v>1334</v>
      </c>
      <c r="M74" s="3" t="s">
        <v>1335</v>
      </c>
      <c r="N74" s="3" t="s">
        <v>1403</v>
      </c>
    </row>
    <row r="75" spans="1:14" x14ac:dyDescent="0.45">
      <c r="A75" s="3" t="s">
        <v>384</v>
      </c>
      <c r="B75" s="3" t="s">
        <v>69</v>
      </c>
      <c r="C75" s="3" t="s">
        <v>1337</v>
      </c>
      <c r="D75" s="3" t="s">
        <v>1338</v>
      </c>
      <c r="E75" s="3" t="s">
        <v>1339</v>
      </c>
      <c r="F75" s="79">
        <v>1550</v>
      </c>
      <c r="G75" s="3" t="s">
        <v>1221</v>
      </c>
      <c r="H75" s="3" t="s">
        <v>1222</v>
      </c>
      <c r="I75" s="3"/>
      <c r="J75" s="3" t="s">
        <v>1260</v>
      </c>
      <c r="K75" s="3" t="s">
        <v>1340</v>
      </c>
      <c r="L75" s="3" t="s">
        <v>1341</v>
      </c>
      <c r="M75" s="3" t="s">
        <v>1342</v>
      </c>
      <c r="N75" s="3" t="s">
        <v>1404</v>
      </c>
    </row>
    <row r="76" spans="1:14" x14ac:dyDescent="0.45">
      <c r="A76" s="3" t="s">
        <v>384</v>
      </c>
      <c r="B76" s="3" t="s">
        <v>69</v>
      </c>
      <c r="C76" s="3" t="s">
        <v>1344</v>
      </c>
      <c r="D76" s="3" t="s">
        <v>1345</v>
      </c>
      <c r="E76" s="3" t="s">
        <v>1346</v>
      </c>
      <c r="F76" s="79">
        <v>1633</v>
      </c>
      <c r="G76" s="3" t="s">
        <v>1221</v>
      </c>
      <c r="H76" s="3" t="s">
        <v>1222</v>
      </c>
      <c r="I76" s="3"/>
      <c r="J76" s="3" t="s">
        <v>1260</v>
      </c>
      <c r="K76" s="3" t="s">
        <v>1325</v>
      </c>
      <c r="L76" s="3" t="s">
        <v>1326</v>
      </c>
      <c r="M76" s="3" t="s">
        <v>1327</v>
      </c>
      <c r="N76" s="3" t="s">
        <v>1405</v>
      </c>
    </row>
    <row r="77" spans="1:14" x14ac:dyDescent="0.45">
      <c r="A77" s="3" t="s">
        <v>384</v>
      </c>
      <c r="B77" s="3" t="s">
        <v>69</v>
      </c>
      <c r="C77" s="3" t="s">
        <v>1348</v>
      </c>
      <c r="D77" s="3" t="s">
        <v>1255</v>
      </c>
      <c r="E77" s="3" t="s">
        <v>1346</v>
      </c>
      <c r="F77" s="79">
        <v>4520</v>
      </c>
      <c r="G77" s="3" t="s">
        <v>1221</v>
      </c>
      <c r="H77" s="3" t="s">
        <v>1222</v>
      </c>
      <c r="I77" s="3"/>
      <c r="J77" s="3" t="s">
        <v>1260</v>
      </c>
      <c r="K77" s="3" t="s">
        <v>1325</v>
      </c>
      <c r="L77" s="3" t="s">
        <v>1326</v>
      </c>
      <c r="M77" s="3" t="s">
        <v>1327</v>
      </c>
      <c r="N77" s="3" t="s">
        <v>1406</v>
      </c>
    </row>
    <row r="78" spans="1:14" x14ac:dyDescent="0.45">
      <c r="A78" s="3" t="s">
        <v>384</v>
      </c>
      <c r="B78" s="3" t="s">
        <v>69</v>
      </c>
      <c r="C78" s="3" t="s">
        <v>1350</v>
      </c>
      <c r="D78" s="3" t="s">
        <v>1351</v>
      </c>
      <c r="E78" s="3" t="s">
        <v>1352</v>
      </c>
      <c r="F78" s="79">
        <v>1630</v>
      </c>
      <c r="G78" s="3" t="s">
        <v>1221</v>
      </c>
      <c r="H78" s="3" t="s">
        <v>1222</v>
      </c>
      <c r="I78" s="3"/>
      <c r="J78" s="3" t="s">
        <v>1260</v>
      </c>
      <c r="K78" s="3" t="s">
        <v>1333</v>
      </c>
      <c r="L78" s="3" t="s">
        <v>1334</v>
      </c>
      <c r="M78" s="3" t="s">
        <v>1335</v>
      </c>
      <c r="N78" s="3" t="s">
        <v>1407</v>
      </c>
    </row>
    <row r="79" spans="1:14" x14ac:dyDescent="0.45">
      <c r="A79" s="3" t="s">
        <v>384</v>
      </c>
      <c r="B79" s="3" t="s">
        <v>69</v>
      </c>
      <c r="C79" s="3" t="s">
        <v>1354</v>
      </c>
      <c r="D79" s="3" t="s">
        <v>1355</v>
      </c>
      <c r="E79" s="3" t="s">
        <v>1356</v>
      </c>
      <c r="F79" s="79">
        <v>1908</v>
      </c>
      <c r="G79" s="3" t="s">
        <v>1221</v>
      </c>
      <c r="H79" s="3" t="s">
        <v>1222</v>
      </c>
      <c r="I79" s="3"/>
      <c r="J79" s="3" t="s">
        <v>1260</v>
      </c>
      <c r="K79" s="3" t="s">
        <v>1340</v>
      </c>
      <c r="L79" s="3" t="s">
        <v>1341</v>
      </c>
      <c r="M79" s="3" t="s">
        <v>1342</v>
      </c>
      <c r="N79" s="3" t="s">
        <v>1408</v>
      </c>
    </row>
    <row r="80" spans="1:14" x14ac:dyDescent="0.45">
      <c r="A80" s="3" t="s">
        <v>392</v>
      </c>
      <c r="B80" s="3" t="s">
        <v>1409</v>
      </c>
      <c r="C80" s="3" t="s">
        <v>1218</v>
      </c>
      <c r="D80" s="3" t="s">
        <v>1219</v>
      </c>
      <c r="E80" s="3" t="s">
        <v>1220</v>
      </c>
      <c r="F80" s="79">
        <v>40</v>
      </c>
      <c r="G80" s="3" t="s">
        <v>1221</v>
      </c>
      <c r="H80" s="3" t="s">
        <v>1410</v>
      </c>
      <c r="I80" s="3" t="s">
        <v>1223</v>
      </c>
      <c r="J80" s="3" t="s">
        <v>1224</v>
      </c>
      <c r="K80" s="3" t="s">
        <v>1225</v>
      </c>
      <c r="L80" s="3" t="s">
        <v>1226</v>
      </c>
      <c r="M80" s="3" t="s">
        <v>1227</v>
      </c>
      <c r="N80" s="3" t="s">
        <v>1411</v>
      </c>
    </row>
    <row r="81" spans="1:14" x14ac:dyDescent="0.45">
      <c r="A81" s="3" t="s">
        <v>392</v>
      </c>
      <c r="B81" s="3" t="s">
        <v>1409</v>
      </c>
      <c r="C81" s="3" t="s">
        <v>1229</v>
      </c>
      <c r="D81" s="3" t="s">
        <v>1230</v>
      </c>
      <c r="E81" s="3" t="s">
        <v>1231</v>
      </c>
      <c r="F81" s="79">
        <v>63</v>
      </c>
      <c r="G81" s="3" t="s">
        <v>1221</v>
      </c>
      <c r="H81" s="3" t="s">
        <v>1410</v>
      </c>
      <c r="I81" s="3" t="s">
        <v>1223</v>
      </c>
      <c r="J81" s="3" t="s">
        <v>1224</v>
      </c>
      <c r="K81" s="3" t="s">
        <v>1232</v>
      </c>
      <c r="L81" s="3" t="s">
        <v>1233</v>
      </c>
      <c r="M81" s="3" t="s">
        <v>1234</v>
      </c>
      <c r="N81" s="3" t="s">
        <v>1270</v>
      </c>
    </row>
    <row r="82" spans="1:14" x14ac:dyDescent="0.45">
      <c r="A82" s="3" t="s">
        <v>392</v>
      </c>
      <c r="B82" s="3" t="s">
        <v>1409</v>
      </c>
      <c r="C82" s="3" t="s">
        <v>1236</v>
      </c>
      <c r="D82" s="3" t="s">
        <v>1237</v>
      </c>
      <c r="E82" s="3" t="s">
        <v>1238</v>
      </c>
      <c r="F82" s="79">
        <v>112</v>
      </c>
      <c r="G82" s="3" t="s">
        <v>1221</v>
      </c>
      <c r="H82" s="3" t="s">
        <v>1410</v>
      </c>
      <c r="I82" s="3" t="s">
        <v>1223</v>
      </c>
      <c r="J82" s="3" t="s">
        <v>1224</v>
      </c>
      <c r="K82" s="3" t="s">
        <v>1239</v>
      </c>
      <c r="L82" s="3" t="s">
        <v>1240</v>
      </c>
      <c r="M82" s="3" t="s">
        <v>1241</v>
      </c>
      <c r="N82" s="3" t="s">
        <v>1412</v>
      </c>
    </row>
    <row r="83" spans="1:14" x14ac:dyDescent="0.45">
      <c r="A83" s="3" t="s">
        <v>392</v>
      </c>
      <c r="B83" s="3" t="s">
        <v>1409</v>
      </c>
      <c r="C83" s="3" t="s">
        <v>1243</v>
      </c>
      <c r="D83" s="3" t="s">
        <v>1244</v>
      </c>
      <c r="E83" s="3" t="s">
        <v>1245</v>
      </c>
      <c r="F83" s="79">
        <v>166</v>
      </c>
      <c r="G83" s="3" t="s">
        <v>1221</v>
      </c>
      <c r="H83" s="3" t="s">
        <v>1410</v>
      </c>
      <c r="I83" s="3" t="s">
        <v>1223</v>
      </c>
      <c r="J83" s="3" t="s">
        <v>1224</v>
      </c>
      <c r="K83" s="3" t="s">
        <v>1246</v>
      </c>
      <c r="L83" s="3" t="s">
        <v>1247</v>
      </c>
      <c r="M83" s="3" t="s">
        <v>1248</v>
      </c>
      <c r="N83" s="3" t="s">
        <v>1321</v>
      </c>
    </row>
    <row r="84" spans="1:14" x14ac:dyDescent="0.45">
      <c r="A84" s="3" t="s">
        <v>392</v>
      </c>
      <c r="B84" s="3" t="s">
        <v>1409</v>
      </c>
      <c r="C84" s="3" t="s">
        <v>1250</v>
      </c>
      <c r="D84" s="3" t="s">
        <v>1251</v>
      </c>
      <c r="E84" s="3" t="s">
        <v>1252</v>
      </c>
      <c r="F84" s="79">
        <v>219</v>
      </c>
      <c r="G84" s="3" t="s">
        <v>1221</v>
      </c>
      <c r="H84" s="3" t="s">
        <v>1410</v>
      </c>
      <c r="I84" s="3" t="s">
        <v>1223</v>
      </c>
      <c r="J84" s="3" t="s">
        <v>1224</v>
      </c>
      <c r="K84" s="3" t="s">
        <v>1246</v>
      </c>
      <c r="L84" s="3" t="s">
        <v>1247</v>
      </c>
      <c r="M84" s="3" t="s">
        <v>1248</v>
      </c>
      <c r="N84" s="3" t="s">
        <v>1413</v>
      </c>
    </row>
    <row r="85" spans="1:14" x14ac:dyDescent="0.45">
      <c r="A85" s="3" t="s">
        <v>392</v>
      </c>
      <c r="B85" s="3" t="s">
        <v>1409</v>
      </c>
      <c r="C85" s="3" t="s">
        <v>1254</v>
      </c>
      <c r="D85" s="3" t="s">
        <v>1255</v>
      </c>
      <c r="E85" s="3" t="s">
        <v>1256</v>
      </c>
      <c r="F85" s="79">
        <v>264</v>
      </c>
      <c r="G85" s="3" t="s">
        <v>1221</v>
      </c>
      <c r="H85" s="3" t="s">
        <v>1410</v>
      </c>
      <c r="I85" s="3" t="s">
        <v>1223</v>
      </c>
      <c r="J85" s="3" t="s">
        <v>1224</v>
      </c>
      <c r="K85" s="3" t="s">
        <v>1246</v>
      </c>
      <c r="L85" s="3" t="s">
        <v>1247</v>
      </c>
      <c r="M85" s="3" t="s">
        <v>1248</v>
      </c>
      <c r="N85" s="3" t="s">
        <v>1414</v>
      </c>
    </row>
    <row r="86" spans="1:14" x14ac:dyDescent="0.45">
      <c r="A86" s="3" t="s">
        <v>392</v>
      </c>
      <c r="B86" s="3" t="s">
        <v>1409</v>
      </c>
      <c r="C86" s="3" t="s">
        <v>1258</v>
      </c>
      <c r="D86" s="3" t="s">
        <v>1230</v>
      </c>
      <c r="E86" s="3" t="s">
        <v>1259</v>
      </c>
      <c r="F86" s="79">
        <v>41</v>
      </c>
      <c r="G86" s="3" t="s">
        <v>1221</v>
      </c>
      <c r="H86" s="3" t="s">
        <v>1410</v>
      </c>
      <c r="I86" s="3" t="s">
        <v>1223</v>
      </c>
      <c r="J86" s="3" t="s">
        <v>1260</v>
      </c>
      <c r="K86" s="3" t="s">
        <v>1261</v>
      </c>
      <c r="L86" s="3" t="s">
        <v>1262</v>
      </c>
      <c r="M86" s="3" t="s">
        <v>1263</v>
      </c>
      <c r="N86" s="3" t="s">
        <v>1415</v>
      </c>
    </row>
    <row r="87" spans="1:14" x14ac:dyDescent="0.45">
      <c r="A87" s="3" t="s">
        <v>392</v>
      </c>
      <c r="B87" s="3" t="s">
        <v>1409</v>
      </c>
      <c r="C87" s="3" t="s">
        <v>1265</v>
      </c>
      <c r="D87" s="3" t="s">
        <v>1237</v>
      </c>
      <c r="E87" s="3" t="s">
        <v>1266</v>
      </c>
      <c r="F87" s="79">
        <v>25</v>
      </c>
      <c r="G87" s="3" t="s">
        <v>1221</v>
      </c>
      <c r="H87" s="3" t="s">
        <v>1410</v>
      </c>
      <c r="I87" s="3" t="s">
        <v>1223</v>
      </c>
      <c r="J87" s="3" t="s">
        <v>1260</v>
      </c>
      <c r="K87" s="3" t="s">
        <v>1267</v>
      </c>
      <c r="L87" s="3" t="s">
        <v>1268</v>
      </c>
      <c r="M87" s="3" t="s">
        <v>1269</v>
      </c>
      <c r="N87" s="3" t="s">
        <v>1416</v>
      </c>
    </row>
    <row r="88" spans="1:14" x14ac:dyDescent="0.45">
      <c r="A88" s="3" t="s">
        <v>392</v>
      </c>
      <c r="B88" s="3" t="s">
        <v>1409</v>
      </c>
      <c r="C88" s="3" t="s">
        <v>1271</v>
      </c>
      <c r="D88" s="3" t="s">
        <v>1272</v>
      </c>
      <c r="E88" s="3" t="s">
        <v>1273</v>
      </c>
      <c r="F88" s="79">
        <v>27</v>
      </c>
      <c r="G88" s="3" t="s">
        <v>1221</v>
      </c>
      <c r="H88" s="3" t="s">
        <v>1410</v>
      </c>
      <c r="I88" s="3" t="s">
        <v>1223</v>
      </c>
      <c r="J88" s="3" t="s">
        <v>1260</v>
      </c>
      <c r="K88" s="3" t="s">
        <v>1274</v>
      </c>
      <c r="L88" s="3" t="s">
        <v>1275</v>
      </c>
      <c r="M88" s="3" t="s">
        <v>1276</v>
      </c>
      <c r="N88" s="3" t="s">
        <v>1417</v>
      </c>
    </row>
    <row r="89" spans="1:14" x14ac:dyDescent="0.45">
      <c r="A89" s="3" t="s">
        <v>392</v>
      </c>
      <c r="B89" s="3" t="s">
        <v>1409</v>
      </c>
      <c r="C89" s="3" t="s">
        <v>1278</v>
      </c>
      <c r="D89" s="3" t="s">
        <v>1279</v>
      </c>
      <c r="E89" s="3" t="s">
        <v>1280</v>
      </c>
      <c r="F89" s="79">
        <v>29</v>
      </c>
      <c r="G89" s="3" t="s">
        <v>1221</v>
      </c>
      <c r="H89" s="3" t="s">
        <v>1410</v>
      </c>
      <c r="I89" s="3" t="s">
        <v>1223</v>
      </c>
      <c r="J89" s="3" t="s">
        <v>1260</v>
      </c>
      <c r="K89" s="3" t="s">
        <v>1281</v>
      </c>
      <c r="L89" s="3" t="s">
        <v>1282</v>
      </c>
      <c r="M89" s="3" t="s">
        <v>1283</v>
      </c>
      <c r="N89" s="3" t="s">
        <v>1418</v>
      </c>
    </row>
    <row r="90" spans="1:14" x14ac:dyDescent="0.45">
      <c r="A90" s="3" t="s">
        <v>392</v>
      </c>
      <c r="B90" s="3" t="s">
        <v>1409</v>
      </c>
      <c r="C90" s="3" t="s">
        <v>1285</v>
      </c>
      <c r="D90" s="3" t="s">
        <v>1237</v>
      </c>
      <c r="E90" s="3" t="s">
        <v>1280</v>
      </c>
      <c r="F90" s="79">
        <v>81</v>
      </c>
      <c r="G90" s="3" t="s">
        <v>1221</v>
      </c>
      <c r="H90" s="3" t="s">
        <v>1410</v>
      </c>
      <c r="I90" s="3" t="s">
        <v>1223</v>
      </c>
      <c r="J90" s="3" t="s">
        <v>1260</v>
      </c>
      <c r="K90" s="3" t="s">
        <v>1281</v>
      </c>
      <c r="L90" s="3" t="s">
        <v>1282</v>
      </c>
      <c r="M90" s="3" t="s">
        <v>1283</v>
      </c>
      <c r="N90" s="3" t="s">
        <v>1419</v>
      </c>
    </row>
    <row r="91" spans="1:14" x14ac:dyDescent="0.45">
      <c r="A91" s="3" t="s">
        <v>392</v>
      </c>
      <c r="B91" s="3" t="s">
        <v>1409</v>
      </c>
      <c r="C91" s="3" t="s">
        <v>1287</v>
      </c>
      <c r="D91" s="3" t="s">
        <v>1244</v>
      </c>
      <c r="E91" s="3" t="s">
        <v>1288</v>
      </c>
      <c r="F91" s="79">
        <v>36</v>
      </c>
      <c r="G91" s="3" t="s">
        <v>1221</v>
      </c>
      <c r="H91" s="3" t="s">
        <v>1410</v>
      </c>
      <c r="I91" s="3" t="s">
        <v>1223</v>
      </c>
      <c r="J91" s="3" t="s">
        <v>1260</v>
      </c>
      <c r="K91" s="3" t="s">
        <v>1289</v>
      </c>
      <c r="L91" s="3" t="s">
        <v>1290</v>
      </c>
      <c r="M91" s="3" t="s">
        <v>1291</v>
      </c>
      <c r="N91" s="3" t="s">
        <v>1420</v>
      </c>
    </row>
    <row r="92" spans="1:14" x14ac:dyDescent="0.45">
      <c r="A92" s="3" t="s">
        <v>392</v>
      </c>
      <c r="B92" s="3" t="s">
        <v>1409</v>
      </c>
      <c r="C92" s="3" t="s">
        <v>1293</v>
      </c>
      <c r="D92" s="3" t="s">
        <v>1294</v>
      </c>
      <c r="E92" s="3" t="s">
        <v>1295</v>
      </c>
      <c r="F92" s="79">
        <v>39</v>
      </c>
      <c r="G92" s="3" t="s">
        <v>1221</v>
      </c>
      <c r="H92" s="3" t="s">
        <v>1410</v>
      </c>
      <c r="I92" s="3" t="s">
        <v>1223</v>
      </c>
      <c r="J92" s="3" t="s">
        <v>1260</v>
      </c>
      <c r="K92" s="3" t="s">
        <v>1296</v>
      </c>
      <c r="L92" s="3" t="s">
        <v>1297</v>
      </c>
      <c r="M92" s="3" t="s">
        <v>1298</v>
      </c>
      <c r="N92" s="3" t="s">
        <v>1421</v>
      </c>
    </row>
    <row r="93" spans="1:14" x14ac:dyDescent="0.45">
      <c r="A93" s="3" t="s">
        <v>392</v>
      </c>
      <c r="B93" s="3" t="s">
        <v>1409</v>
      </c>
      <c r="C93" s="3" t="s">
        <v>1300</v>
      </c>
      <c r="D93" s="3" t="s">
        <v>1301</v>
      </c>
      <c r="E93" s="3" t="s">
        <v>1302</v>
      </c>
      <c r="F93" s="79">
        <v>43</v>
      </c>
      <c r="G93" s="3" t="s">
        <v>1221</v>
      </c>
      <c r="H93" s="3" t="s">
        <v>1410</v>
      </c>
      <c r="I93" s="3" t="s">
        <v>1223</v>
      </c>
      <c r="J93" s="3" t="s">
        <v>1260</v>
      </c>
      <c r="K93" s="3" t="s">
        <v>1303</v>
      </c>
      <c r="L93" s="3" t="s">
        <v>1304</v>
      </c>
      <c r="M93" s="3" t="s">
        <v>1305</v>
      </c>
      <c r="N93" s="3" t="s">
        <v>1422</v>
      </c>
    </row>
    <row r="94" spans="1:14" x14ac:dyDescent="0.45">
      <c r="A94" s="3" t="s">
        <v>392</v>
      </c>
      <c r="B94" s="3" t="s">
        <v>1409</v>
      </c>
      <c r="C94" s="3" t="s">
        <v>1307</v>
      </c>
      <c r="D94" s="3" t="s">
        <v>1244</v>
      </c>
      <c r="E94" s="3" t="s">
        <v>1302</v>
      </c>
      <c r="F94" s="79">
        <v>118</v>
      </c>
      <c r="G94" s="3" t="s">
        <v>1221</v>
      </c>
      <c r="H94" s="3" t="s">
        <v>1410</v>
      </c>
      <c r="I94" s="3" t="s">
        <v>1223</v>
      </c>
      <c r="J94" s="3" t="s">
        <v>1260</v>
      </c>
      <c r="K94" s="3" t="s">
        <v>1303</v>
      </c>
      <c r="L94" s="3" t="s">
        <v>1304</v>
      </c>
      <c r="M94" s="3" t="s">
        <v>1305</v>
      </c>
      <c r="N94" s="3" t="s">
        <v>1423</v>
      </c>
    </row>
    <row r="95" spans="1:14" x14ac:dyDescent="0.45">
      <c r="A95" s="3" t="s">
        <v>392</v>
      </c>
      <c r="B95" s="3" t="s">
        <v>1409</v>
      </c>
      <c r="C95" s="3" t="s">
        <v>1309</v>
      </c>
      <c r="D95" s="3" t="s">
        <v>1251</v>
      </c>
      <c r="E95" s="3" t="s">
        <v>1310</v>
      </c>
      <c r="F95" s="79">
        <v>50</v>
      </c>
      <c r="G95" s="3" t="s">
        <v>1221</v>
      </c>
      <c r="H95" s="3" t="s">
        <v>1410</v>
      </c>
      <c r="I95" s="3" t="s">
        <v>1223</v>
      </c>
      <c r="J95" s="3" t="s">
        <v>1260</v>
      </c>
      <c r="K95" s="3" t="s">
        <v>1311</v>
      </c>
      <c r="L95" s="3" t="s">
        <v>1312</v>
      </c>
      <c r="M95" s="3" t="s">
        <v>1313</v>
      </c>
      <c r="N95" s="3" t="s">
        <v>1424</v>
      </c>
    </row>
    <row r="96" spans="1:14" x14ac:dyDescent="0.45">
      <c r="A96" s="3" t="s">
        <v>392</v>
      </c>
      <c r="B96" s="3" t="s">
        <v>1409</v>
      </c>
      <c r="C96" s="3" t="s">
        <v>1315</v>
      </c>
      <c r="D96" s="3" t="s">
        <v>1316</v>
      </c>
      <c r="E96" s="3" t="s">
        <v>1317</v>
      </c>
      <c r="F96" s="79">
        <v>53</v>
      </c>
      <c r="G96" s="3" t="s">
        <v>1221</v>
      </c>
      <c r="H96" s="3" t="s">
        <v>1410</v>
      </c>
      <c r="I96" s="3" t="s">
        <v>1223</v>
      </c>
      <c r="J96" s="3" t="s">
        <v>1260</v>
      </c>
      <c r="K96" s="3" t="s">
        <v>1318</v>
      </c>
      <c r="L96" s="3" t="s">
        <v>1319</v>
      </c>
      <c r="M96" s="3" t="s">
        <v>1320</v>
      </c>
      <c r="N96" s="3" t="s">
        <v>1425</v>
      </c>
    </row>
    <row r="97" spans="1:14" x14ac:dyDescent="0.45">
      <c r="A97" s="3" t="s">
        <v>392</v>
      </c>
      <c r="B97" s="3" t="s">
        <v>1409</v>
      </c>
      <c r="C97" s="3" t="s">
        <v>1322</v>
      </c>
      <c r="D97" s="3" t="s">
        <v>1323</v>
      </c>
      <c r="E97" s="3" t="s">
        <v>1324</v>
      </c>
      <c r="F97" s="79">
        <v>56</v>
      </c>
      <c r="G97" s="3" t="s">
        <v>1221</v>
      </c>
      <c r="H97" s="3" t="s">
        <v>1410</v>
      </c>
      <c r="I97" s="3" t="s">
        <v>1223</v>
      </c>
      <c r="J97" s="3" t="s">
        <v>1260</v>
      </c>
      <c r="K97" s="3" t="s">
        <v>1325</v>
      </c>
      <c r="L97" s="3" t="s">
        <v>1326</v>
      </c>
      <c r="M97" s="3" t="s">
        <v>1327</v>
      </c>
      <c r="N97" s="3" t="s">
        <v>1426</v>
      </c>
    </row>
    <row r="98" spans="1:14" x14ac:dyDescent="0.45">
      <c r="A98" s="3" t="s">
        <v>392</v>
      </c>
      <c r="B98" s="3" t="s">
        <v>1409</v>
      </c>
      <c r="C98" s="3" t="s">
        <v>1329</v>
      </c>
      <c r="D98" s="3" t="s">
        <v>1251</v>
      </c>
      <c r="E98" s="3" t="s">
        <v>1324</v>
      </c>
      <c r="F98" s="79">
        <v>159</v>
      </c>
      <c r="G98" s="3" t="s">
        <v>1221</v>
      </c>
      <c r="H98" s="3" t="s">
        <v>1410</v>
      </c>
      <c r="I98" s="3" t="s">
        <v>1223</v>
      </c>
      <c r="J98" s="3" t="s">
        <v>1260</v>
      </c>
      <c r="K98" s="3" t="s">
        <v>1325</v>
      </c>
      <c r="L98" s="3" t="s">
        <v>1326</v>
      </c>
      <c r="M98" s="3" t="s">
        <v>1327</v>
      </c>
      <c r="N98" s="3" t="s">
        <v>1427</v>
      </c>
    </row>
    <row r="99" spans="1:14" x14ac:dyDescent="0.45">
      <c r="A99" s="3" t="s">
        <v>392</v>
      </c>
      <c r="B99" s="3" t="s">
        <v>1409</v>
      </c>
      <c r="C99" s="3" t="s">
        <v>1331</v>
      </c>
      <c r="D99" s="3" t="s">
        <v>1255</v>
      </c>
      <c r="E99" s="3" t="s">
        <v>1332</v>
      </c>
      <c r="F99" s="79">
        <v>66</v>
      </c>
      <c r="G99" s="3" t="s">
        <v>1221</v>
      </c>
      <c r="H99" s="3" t="s">
        <v>1410</v>
      </c>
      <c r="I99" s="3" t="s">
        <v>1223</v>
      </c>
      <c r="J99" s="3" t="s">
        <v>1260</v>
      </c>
      <c r="K99" s="3" t="s">
        <v>1333</v>
      </c>
      <c r="L99" s="3" t="s">
        <v>1334</v>
      </c>
      <c r="M99" s="3" t="s">
        <v>1335</v>
      </c>
      <c r="N99" s="3" t="s">
        <v>1428</v>
      </c>
    </row>
    <row r="100" spans="1:14" x14ac:dyDescent="0.45">
      <c r="A100" s="3" t="s">
        <v>392</v>
      </c>
      <c r="B100" s="3" t="s">
        <v>1409</v>
      </c>
      <c r="C100" s="3" t="s">
        <v>1337</v>
      </c>
      <c r="D100" s="3" t="s">
        <v>1338</v>
      </c>
      <c r="E100" s="3" t="s">
        <v>1339</v>
      </c>
      <c r="F100" s="79">
        <v>64</v>
      </c>
      <c r="G100" s="3" t="s">
        <v>1221</v>
      </c>
      <c r="H100" s="3" t="s">
        <v>1410</v>
      </c>
      <c r="I100" s="3" t="s">
        <v>1223</v>
      </c>
      <c r="J100" s="3" t="s">
        <v>1260</v>
      </c>
      <c r="K100" s="3" t="s">
        <v>1340</v>
      </c>
      <c r="L100" s="3" t="s">
        <v>1341</v>
      </c>
      <c r="M100" s="3" t="s">
        <v>1342</v>
      </c>
      <c r="N100" s="3" t="s">
        <v>1429</v>
      </c>
    </row>
    <row r="101" spans="1:14" x14ac:dyDescent="0.45">
      <c r="A101" s="3" t="s">
        <v>392</v>
      </c>
      <c r="B101" s="3" t="s">
        <v>1409</v>
      </c>
      <c r="C101" s="3" t="s">
        <v>1344</v>
      </c>
      <c r="D101" s="3" t="s">
        <v>1345</v>
      </c>
      <c r="E101" s="3" t="s">
        <v>1346</v>
      </c>
      <c r="F101" s="79">
        <v>67</v>
      </c>
      <c r="G101" s="3" t="s">
        <v>1221</v>
      </c>
      <c r="H101" s="3" t="s">
        <v>1410</v>
      </c>
      <c r="I101" s="3" t="s">
        <v>1223</v>
      </c>
      <c r="J101" s="3" t="s">
        <v>1260</v>
      </c>
      <c r="K101" s="3" t="s">
        <v>1325</v>
      </c>
      <c r="L101" s="3" t="s">
        <v>1326</v>
      </c>
      <c r="M101" s="3" t="s">
        <v>1327</v>
      </c>
      <c r="N101" s="3" t="s">
        <v>1430</v>
      </c>
    </row>
    <row r="102" spans="1:14" x14ac:dyDescent="0.45">
      <c r="A102" s="3" t="s">
        <v>392</v>
      </c>
      <c r="B102" s="3" t="s">
        <v>1409</v>
      </c>
      <c r="C102" s="3" t="s">
        <v>1348</v>
      </c>
      <c r="D102" s="3" t="s">
        <v>1255</v>
      </c>
      <c r="E102" s="3" t="s">
        <v>1346</v>
      </c>
      <c r="F102" s="79">
        <v>197</v>
      </c>
      <c r="G102" s="3" t="s">
        <v>1221</v>
      </c>
      <c r="H102" s="3" t="s">
        <v>1410</v>
      </c>
      <c r="I102" s="3" t="s">
        <v>1223</v>
      </c>
      <c r="J102" s="3" t="s">
        <v>1260</v>
      </c>
      <c r="K102" s="3" t="s">
        <v>1325</v>
      </c>
      <c r="L102" s="3" t="s">
        <v>1326</v>
      </c>
      <c r="M102" s="3" t="s">
        <v>1327</v>
      </c>
      <c r="N102" s="3" t="s">
        <v>1431</v>
      </c>
    </row>
    <row r="103" spans="1:14" x14ac:dyDescent="0.45">
      <c r="A103" s="3" t="s">
        <v>392</v>
      </c>
      <c r="B103" s="3" t="s">
        <v>1409</v>
      </c>
      <c r="C103" s="3" t="s">
        <v>1350</v>
      </c>
      <c r="D103" s="3" t="s">
        <v>1351</v>
      </c>
      <c r="E103" s="3" t="s">
        <v>1352</v>
      </c>
      <c r="F103" s="79">
        <v>60</v>
      </c>
      <c r="G103" s="3" t="s">
        <v>1221</v>
      </c>
      <c r="H103" s="3" t="s">
        <v>1410</v>
      </c>
      <c r="I103" s="3" t="s">
        <v>1223</v>
      </c>
      <c r="J103" s="3" t="s">
        <v>1260</v>
      </c>
      <c r="K103" s="3" t="s">
        <v>1333</v>
      </c>
      <c r="L103" s="3" t="s">
        <v>1334</v>
      </c>
      <c r="M103" s="3" t="s">
        <v>1335</v>
      </c>
      <c r="N103" s="3" t="s">
        <v>1432</v>
      </c>
    </row>
    <row r="104" spans="1:14" x14ac:dyDescent="0.45">
      <c r="A104" s="3" t="s">
        <v>392</v>
      </c>
      <c r="B104" s="3" t="s">
        <v>1409</v>
      </c>
      <c r="C104" s="3" t="s">
        <v>1354</v>
      </c>
      <c r="D104" s="3" t="s">
        <v>1355</v>
      </c>
      <c r="E104" s="3" t="s">
        <v>1356</v>
      </c>
      <c r="F104" s="79">
        <v>64</v>
      </c>
      <c r="G104" s="3" t="s">
        <v>1221</v>
      </c>
      <c r="H104" s="3" t="s">
        <v>1410</v>
      </c>
      <c r="I104" s="3" t="s">
        <v>1223</v>
      </c>
      <c r="J104" s="3" t="s">
        <v>1260</v>
      </c>
      <c r="K104" s="3" t="s">
        <v>1340</v>
      </c>
      <c r="L104" s="3" t="s">
        <v>1341</v>
      </c>
      <c r="M104" s="3" t="s">
        <v>1342</v>
      </c>
      <c r="N104" s="3" t="s">
        <v>1429</v>
      </c>
    </row>
    <row r="105" spans="1:14" x14ac:dyDescent="0.45">
      <c r="A105" s="3" t="s">
        <v>395</v>
      </c>
      <c r="B105" s="3" t="s">
        <v>1433</v>
      </c>
      <c r="C105" s="3" t="s">
        <v>1218</v>
      </c>
      <c r="D105" s="3" t="s">
        <v>1219</v>
      </c>
      <c r="E105" s="3" t="s">
        <v>1220</v>
      </c>
      <c r="F105" s="79">
        <v>509</v>
      </c>
      <c r="G105" s="3" t="s">
        <v>1221</v>
      </c>
      <c r="H105" s="3" t="s">
        <v>1410</v>
      </c>
      <c r="I105" s="3" t="s">
        <v>1358</v>
      </c>
      <c r="J105" s="3" t="s">
        <v>1224</v>
      </c>
      <c r="K105" s="3" t="s">
        <v>1225</v>
      </c>
      <c r="L105" s="3" t="s">
        <v>1226</v>
      </c>
      <c r="M105" s="3" t="s">
        <v>1227</v>
      </c>
      <c r="N105" s="3" t="s">
        <v>1434</v>
      </c>
    </row>
    <row r="106" spans="1:14" x14ac:dyDescent="0.45">
      <c r="A106" s="3" t="s">
        <v>395</v>
      </c>
      <c r="B106" s="3" t="s">
        <v>1433</v>
      </c>
      <c r="C106" s="3" t="s">
        <v>1229</v>
      </c>
      <c r="D106" s="3" t="s">
        <v>1230</v>
      </c>
      <c r="E106" s="3" t="s">
        <v>1231</v>
      </c>
      <c r="F106" s="79">
        <v>1120</v>
      </c>
      <c r="G106" s="3" t="s">
        <v>1221</v>
      </c>
      <c r="H106" s="3" t="s">
        <v>1410</v>
      </c>
      <c r="I106" s="3" t="s">
        <v>1358</v>
      </c>
      <c r="J106" s="3" t="s">
        <v>1224</v>
      </c>
      <c r="K106" s="3" t="s">
        <v>1232</v>
      </c>
      <c r="L106" s="3" t="s">
        <v>1233</v>
      </c>
      <c r="M106" s="3" t="s">
        <v>1234</v>
      </c>
      <c r="N106" s="3" t="s">
        <v>1435</v>
      </c>
    </row>
    <row r="107" spans="1:14" x14ac:dyDescent="0.45">
      <c r="A107" s="3" t="s">
        <v>395</v>
      </c>
      <c r="B107" s="3" t="s">
        <v>1433</v>
      </c>
      <c r="C107" s="3" t="s">
        <v>1236</v>
      </c>
      <c r="D107" s="3" t="s">
        <v>1237</v>
      </c>
      <c r="E107" s="3" t="s">
        <v>1238</v>
      </c>
      <c r="F107" s="79">
        <v>1792</v>
      </c>
      <c r="G107" s="3" t="s">
        <v>1221</v>
      </c>
      <c r="H107" s="3" t="s">
        <v>1410</v>
      </c>
      <c r="I107" s="3" t="s">
        <v>1358</v>
      </c>
      <c r="J107" s="3" t="s">
        <v>1224</v>
      </c>
      <c r="K107" s="3" t="s">
        <v>1239</v>
      </c>
      <c r="L107" s="3" t="s">
        <v>1240</v>
      </c>
      <c r="M107" s="3" t="s">
        <v>1241</v>
      </c>
      <c r="N107" s="3" t="s">
        <v>1436</v>
      </c>
    </row>
    <row r="108" spans="1:14" x14ac:dyDescent="0.45">
      <c r="A108" s="3" t="s">
        <v>395</v>
      </c>
      <c r="B108" s="3" t="s">
        <v>1433</v>
      </c>
      <c r="C108" s="3" t="s">
        <v>1243</v>
      </c>
      <c r="D108" s="3" t="s">
        <v>1244</v>
      </c>
      <c r="E108" s="3" t="s">
        <v>1245</v>
      </c>
      <c r="F108" s="79">
        <v>2503</v>
      </c>
      <c r="G108" s="3" t="s">
        <v>1221</v>
      </c>
      <c r="H108" s="3" t="s">
        <v>1410</v>
      </c>
      <c r="I108" s="3" t="s">
        <v>1358</v>
      </c>
      <c r="J108" s="3" t="s">
        <v>1224</v>
      </c>
      <c r="K108" s="3" t="s">
        <v>1246</v>
      </c>
      <c r="L108" s="3" t="s">
        <v>1247</v>
      </c>
      <c r="M108" s="3" t="s">
        <v>1248</v>
      </c>
      <c r="N108" s="3" t="s">
        <v>1437</v>
      </c>
    </row>
    <row r="109" spans="1:14" x14ac:dyDescent="0.45">
      <c r="A109" s="3" t="s">
        <v>395</v>
      </c>
      <c r="B109" s="3" t="s">
        <v>1433</v>
      </c>
      <c r="C109" s="3" t="s">
        <v>1250</v>
      </c>
      <c r="D109" s="3" t="s">
        <v>1251</v>
      </c>
      <c r="E109" s="3" t="s">
        <v>1252</v>
      </c>
      <c r="F109" s="79">
        <v>3175</v>
      </c>
      <c r="G109" s="3" t="s">
        <v>1221</v>
      </c>
      <c r="H109" s="3" t="s">
        <v>1410</v>
      </c>
      <c r="I109" s="3" t="s">
        <v>1358</v>
      </c>
      <c r="J109" s="3" t="s">
        <v>1224</v>
      </c>
      <c r="K109" s="3" t="s">
        <v>1246</v>
      </c>
      <c r="L109" s="3" t="s">
        <v>1247</v>
      </c>
      <c r="M109" s="3" t="s">
        <v>1248</v>
      </c>
      <c r="N109" s="3" t="s">
        <v>1438</v>
      </c>
    </row>
    <row r="110" spans="1:14" x14ac:dyDescent="0.45">
      <c r="A110" s="3" t="s">
        <v>395</v>
      </c>
      <c r="B110" s="3" t="s">
        <v>1433</v>
      </c>
      <c r="C110" s="3" t="s">
        <v>1254</v>
      </c>
      <c r="D110" s="3" t="s">
        <v>1255</v>
      </c>
      <c r="E110" s="3" t="s">
        <v>1256</v>
      </c>
      <c r="F110" s="79">
        <v>3891</v>
      </c>
      <c r="G110" s="3" t="s">
        <v>1221</v>
      </c>
      <c r="H110" s="3" t="s">
        <v>1410</v>
      </c>
      <c r="I110" s="3" t="s">
        <v>1358</v>
      </c>
      <c r="J110" s="3" t="s">
        <v>1224</v>
      </c>
      <c r="K110" s="3" t="s">
        <v>1246</v>
      </c>
      <c r="L110" s="3" t="s">
        <v>1247</v>
      </c>
      <c r="M110" s="3" t="s">
        <v>1248</v>
      </c>
      <c r="N110" s="3" t="s">
        <v>1439</v>
      </c>
    </row>
    <row r="111" spans="1:14" x14ac:dyDescent="0.45">
      <c r="A111" s="3" t="s">
        <v>395</v>
      </c>
      <c r="B111" s="3" t="s">
        <v>1433</v>
      </c>
      <c r="C111" s="3" t="s">
        <v>1258</v>
      </c>
      <c r="D111" s="3" t="s">
        <v>1230</v>
      </c>
      <c r="E111" s="3" t="s">
        <v>1259</v>
      </c>
      <c r="F111" s="79">
        <v>779</v>
      </c>
      <c r="G111" s="3" t="s">
        <v>1221</v>
      </c>
      <c r="H111" s="3" t="s">
        <v>1410</v>
      </c>
      <c r="I111" s="3" t="s">
        <v>1358</v>
      </c>
      <c r="J111" s="3" t="s">
        <v>1260</v>
      </c>
      <c r="K111" s="3" t="s">
        <v>1261</v>
      </c>
      <c r="L111" s="3" t="s">
        <v>1262</v>
      </c>
      <c r="M111" s="3" t="s">
        <v>1263</v>
      </c>
      <c r="N111" s="3" t="s">
        <v>1440</v>
      </c>
    </row>
    <row r="112" spans="1:14" x14ac:dyDescent="0.45">
      <c r="A112" s="3" t="s">
        <v>395</v>
      </c>
      <c r="B112" s="3" t="s">
        <v>1433</v>
      </c>
      <c r="C112" s="3" t="s">
        <v>1265</v>
      </c>
      <c r="D112" s="3" t="s">
        <v>1237</v>
      </c>
      <c r="E112" s="3" t="s">
        <v>1266</v>
      </c>
      <c r="F112" s="79">
        <v>347</v>
      </c>
      <c r="G112" s="3" t="s">
        <v>1221</v>
      </c>
      <c r="H112" s="3" t="s">
        <v>1410</v>
      </c>
      <c r="I112" s="3" t="s">
        <v>1358</v>
      </c>
      <c r="J112" s="3" t="s">
        <v>1260</v>
      </c>
      <c r="K112" s="3" t="s">
        <v>1267</v>
      </c>
      <c r="L112" s="3" t="s">
        <v>1268</v>
      </c>
      <c r="M112" s="3" t="s">
        <v>1269</v>
      </c>
      <c r="N112" s="3" t="s">
        <v>1441</v>
      </c>
    </row>
    <row r="113" spans="1:14" x14ac:dyDescent="0.45">
      <c r="A113" s="3" t="s">
        <v>395</v>
      </c>
      <c r="B113" s="3" t="s">
        <v>1433</v>
      </c>
      <c r="C113" s="3" t="s">
        <v>1271</v>
      </c>
      <c r="D113" s="3" t="s">
        <v>1272</v>
      </c>
      <c r="E113" s="3" t="s">
        <v>1273</v>
      </c>
      <c r="F113" s="79">
        <v>448</v>
      </c>
      <c r="G113" s="3" t="s">
        <v>1221</v>
      </c>
      <c r="H113" s="3" t="s">
        <v>1410</v>
      </c>
      <c r="I113" s="3" t="s">
        <v>1358</v>
      </c>
      <c r="J113" s="3" t="s">
        <v>1260</v>
      </c>
      <c r="K113" s="3" t="s">
        <v>1274</v>
      </c>
      <c r="L113" s="3" t="s">
        <v>1275</v>
      </c>
      <c r="M113" s="3" t="s">
        <v>1276</v>
      </c>
      <c r="N113" s="3" t="s">
        <v>1442</v>
      </c>
    </row>
    <row r="114" spans="1:14" x14ac:dyDescent="0.45">
      <c r="A114" s="3" t="s">
        <v>395</v>
      </c>
      <c r="B114" s="3" t="s">
        <v>1433</v>
      </c>
      <c r="C114" s="3" t="s">
        <v>1278</v>
      </c>
      <c r="D114" s="3" t="s">
        <v>1279</v>
      </c>
      <c r="E114" s="3" t="s">
        <v>1280</v>
      </c>
      <c r="F114" s="79">
        <v>494</v>
      </c>
      <c r="G114" s="3" t="s">
        <v>1221</v>
      </c>
      <c r="H114" s="3" t="s">
        <v>1410</v>
      </c>
      <c r="I114" s="3" t="s">
        <v>1358</v>
      </c>
      <c r="J114" s="3" t="s">
        <v>1260</v>
      </c>
      <c r="K114" s="3" t="s">
        <v>1281</v>
      </c>
      <c r="L114" s="3" t="s">
        <v>1282</v>
      </c>
      <c r="M114" s="3" t="s">
        <v>1283</v>
      </c>
      <c r="N114" s="3" t="s">
        <v>1443</v>
      </c>
    </row>
    <row r="115" spans="1:14" x14ac:dyDescent="0.45">
      <c r="A115" s="3" t="s">
        <v>395</v>
      </c>
      <c r="B115" s="3" t="s">
        <v>1433</v>
      </c>
      <c r="C115" s="3" t="s">
        <v>1285</v>
      </c>
      <c r="D115" s="3" t="s">
        <v>1237</v>
      </c>
      <c r="E115" s="3" t="s">
        <v>1280</v>
      </c>
      <c r="F115" s="79">
        <v>1289</v>
      </c>
      <c r="G115" s="3" t="s">
        <v>1221</v>
      </c>
      <c r="H115" s="3" t="s">
        <v>1410</v>
      </c>
      <c r="I115" s="3" t="s">
        <v>1358</v>
      </c>
      <c r="J115" s="3" t="s">
        <v>1260</v>
      </c>
      <c r="K115" s="3" t="s">
        <v>1281</v>
      </c>
      <c r="L115" s="3" t="s">
        <v>1282</v>
      </c>
      <c r="M115" s="3" t="s">
        <v>1283</v>
      </c>
      <c r="N115" s="3" t="s">
        <v>1444</v>
      </c>
    </row>
    <row r="116" spans="1:14" x14ac:dyDescent="0.45">
      <c r="A116" s="3" t="s">
        <v>395</v>
      </c>
      <c r="B116" s="3" t="s">
        <v>1433</v>
      </c>
      <c r="C116" s="3" t="s">
        <v>1287</v>
      </c>
      <c r="D116" s="3" t="s">
        <v>1244</v>
      </c>
      <c r="E116" s="3" t="s">
        <v>1288</v>
      </c>
      <c r="F116" s="79">
        <v>523</v>
      </c>
      <c r="G116" s="3" t="s">
        <v>1221</v>
      </c>
      <c r="H116" s="3" t="s">
        <v>1410</v>
      </c>
      <c r="I116" s="3" t="s">
        <v>1358</v>
      </c>
      <c r="J116" s="3" t="s">
        <v>1260</v>
      </c>
      <c r="K116" s="3" t="s">
        <v>1289</v>
      </c>
      <c r="L116" s="3" t="s">
        <v>1290</v>
      </c>
      <c r="M116" s="3" t="s">
        <v>1291</v>
      </c>
      <c r="N116" s="3" t="s">
        <v>1445</v>
      </c>
    </row>
    <row r="117" spans="1:14" x14ac:dyDescent="0.45">
      <c r="A117" s="3" t="s">
        <v>395</v>
      </c>
      <c r="B117" s="3" t="s">
        <v>1433</v>
      </c>
      <c r="C117" s="3" t="s">
        <v>1293</v>
      </c>
      <c r="D117" s="3" t="s">
        <v>1294</v>
      </c>
      <c r="E117" s="3" t="s">
        <v>1295</v>
      </c>
      <c r="F117" s="79">
        <v>631</v>
      </c>
      <c r="G117" s="3" t="s">
        <v>1221</v>
      </c>
      <c r="H117" s="3" t="s">
        <v>1410</v>
      </c>
      <c r="I117" s="3" t="s">
        <v>1358</v>
      </c>
      <c r="J117" s="3" t="s">
        <v>1260</v>
      </c>
      <c r="K117" s="3" t="s">
        <v>1296</v>
      </c>
      <c r="L117" s="3" t="s">
        <v>1297</v>
      </c>
      <c r="M117" s="3" t="s">
        <v>1298</v>
      </c>
      <c r="N117" s="3" t="s">
        <v>1446</v>
      </c>
    </row>
    <row r="118" spans="1:14" x14ac:dyDescent="0.45">
      <c r="A118" s="3" t="s">
        <v>395</v>
      </c>
      <c r="B118" s="3" t="s">
        <v>1433</v>
      </c>
      <c r="C118" s="3" t="s">
        <v>1300</v>
      </c>
      <c r="D118" s="3" t="s">
        <v>1301</v>
      </c>
      <c r="E118" s="3" t="s">
        <v>1302</v>
      </c>
      <c r="F118" s="79">
        <v>674</v>
      </c>
      <c r="G118" s="3" t="s">
        <v>1221</v>
      </c>
      <c r="H118" s="3" t="s">
        <v>1410</v>
      </c>
      <c r="I118" s="3" t="s">
        <v>1358</v>
      </c>
      <c r="J118" s="3" t="s">
        <v>1260</v>
      </c>
      <c r="K118" s="3" t="s">
        <v>1303</v>
      </c>
      <c r="L118" s="3" t="s">
        <v>1304</v>
      </c>
      <c r="M118" s="3" t="s">
        <v>1305</v>
      </c>
      <c r="N118" s="3" t="s">
        <v>1447</v>
      </c>
    </row>
    <row r="119" spans="1:14" x14ac:dyDescent="0.45">
      <c r="A119" s="3" t="s">
        <v>395</v>
      </c>
      <c r="B119" s="3" t="s">
        <v>1433</v>
      </c>
      <c r="C119" s="3" t="s">
        <v>1307</v>
      </c>
      <c r="D119" s="3" t="s">
        <v>1244</v>
      </c>
      <c r="E119" s="3" t="s">
        <v>1302</v>
      </c>
      <c r="F119" s="79">
        <v>1828</v>
      </c>
      <c r="G119" s="3" t="s">
        <v>1221</v>
      </c>
      <c r="H119" s="3" t="s">
        <v>1410</v>
      </c>
      <c r="I119" s="3" t="s">
        <v>1358</v>
      </c>
      <c r="J119" s="3" t="s">
        <v>1260</v>
      </c>
      <c r="K119" s="3" t="s">
        <v>1303</v>
      </c>
      <c r="L119" s="3" t="s">
        <v>1304</v>
      </c>
      <c r="M119" s="3" t="s">
        <v>1305</v>
      </c>
      <c r="N119" s="3" t="s">
        <v>1448</v>
      </c>
    </row>
    <row r="120" spans="1:14" x14ac:dyDescent="0.45">
      <c r="A120" s="3" t="s">
        <v>395</v>
      </c>
      <c r="B120" s="3" t="s">
        <v>1433</v>
      </c>
      <c r="C120" s="3" t="s">
        <v>1309</v>
      </c>
      <c r="D120" s="3" t="s">
        <v>1251</v>
      </c>
      <c r="E120" s="3" t="s">
        <v>1310</v>
      </c>
      <c r="F120" s="79">
        <v>683</v>
      </c>
      <c r="G120" s="3" t="s">
        <v>1221</v>
      </c>
      <c r="H120" s="3" t="s">
        <v>1410</v>
      </c>
      <c r="I120" s="3" t="s">
        <v>1358</v>
      </c>
      <c r="J120" s="3" t="s">
        <v>1260</v>
      </c>
      <c r="K120" s="3" t="s">
        <v>1311</v>
      </c>
      <c r="L120" s="3" t="s">
        <v>1312</v>
      </c>
      <c r="M120" s="3" t="s">
        <v>1313</v>
      </c>
      <c r="N120" s="3" t="s">
        <v>1449</v>
      </c>
    </row>
    <row r="121" spans="1:14" x14ac:dyDescent="0.45">
      <c r="A121" s="3" t="s">
        <v>395</v>
      </c>
      <c r="B121" s="3" t="s">
        <v>1433</v>
      </c>
      <c r="C121" s="3" t="s">
        <v>1315</v>
      </c>
      <c r="D121" s="3" t="s">
        <v>1316</v>
      </c>
      <c r="E121" s="3" t="s">
        <v>1317</v>
      </c>
      <c r="F121" s="79">
        <v>806</v>
      </c>
      <c r="G121" s="3" t="s">
        <v>1221</v>
      </c>
      <c r="H121" s="3" t="s">
        <v>1410</v>
      </c>
      <c r="I121" s="3" t="s">
        <v>1358</v>
      </c>
      <c r="J121" s="3" t="s">
        <v>1260</v>
      </c>
      <c r="K121" s="3" t="s">
        <v>1318</v>
      </c>
      <c r="L121" s="3" t="s">
        <v>1319</v>
      </c>
      <c r="M121" s="3" t="s">
        <v>1320</v>
      </c>
      <c r="N121" s="3" t="s">
        <v>1450</v>
      </c>
    </row>
    <row r="122" spans="1:14" x14ac:dyDescent="0.45">
      <c r="A122" s="3" t="s">
        <v>395</v>
      </c>
      <c r="B122" s="3" t="s">
        <v>1433</v>
      </c>
      <c r="C122" s="3" t="s">
        <v>1322</v>
      </c>
      <c r="D122" s="3" t="s">
        <v>1323</v>
      </c>
      <c r="E122" s="3" t="s">
        <v>1324</v>
      </c>
      <c r="F122" s="79">
        <v>835</v>
      </c>
      <c r="G122" s="3" t="s">
        <v>1221</v>
      </c>
      <c r="H122" s="3" t="s">
        <v>1410</v>
      </c>
      <c r="I122" s="3" t="s">
        <v>1358</v>
      </c>
      <c r="J122" s="3" t="s">
        <v>1260</v>
      </c>
      <c r="K122" s="3" t="s">
        <v>1325</v>
      </c>
      <c r="L122" s="3" t="s">
        <v>1326</v>
      </c>
      <c r="M122" s="3" t="s">
        <v>1327</v>
      </c>
      <c r="N122" s="3" t="s">
        <v>1451</v>
      </c>
    </row>
    <row r="123" spans="1:14" x14ac:dyDescent="0.45">
      <c r="A123" s="3" t="s">
        <v>395</v>
      </c>
      <c r="B123" s="3" t="s">
        <v>1433</v>
      </c>
      <c r="C123" s="3" t="s">
        <v>1329</v>
      </c>
      <c r="D123" s="3" t="s">
        <v>1251</v>
      </c>
      <c r="E123" s="3" t="s">
        <v>1324</v>
      </c>
      <c r="F123" s="79">
        <v>2323</v>
      </c>
      <c r="G123" s="3" t="s">
        <v>1221</v>
      </c>
      <c r="H123" s="3" t="s">
        <v>1410</v>
      </c>
      <c r="I123" s="3" t="s">
        <v>1358</v>
      </c>
      <c r="J123" s="3" t="s">
        <v>1260</v>
      </c>
      <c r="K123" s="3" t="s">
        <v>1325</v>
      </c>
      <c r="L123" s="3" t="s">
        <v>1326</v>
      </c>
      <c r="M123" s="3" t="s">
        <v>1327</v>
      </c>
      <c r="N123" s="3" t="s">
        <v>1452</v>
      </c>
    </row>
    <row r="124" spans="1:14" x14ac:dyDescent="0.45">
      <c r="A124" s="3" t="s">
        <v>395</v>
      </c>
      <c r="B124" s="3" t="s">
        <v>1433</v>
      </c>
      <c r="C124" s="3" t="s">
        <v>1331</v>
      </c>
      <c r="D124" s="3" t="s">
        <v>1255</v>
      </c>
      <c r="E124" s="3" t="s">
        <v>1332</v>
      </c>
      <c r="F124" s="79">
        <v>831</v>
      </c>
      <c r="G124" s="3" t="s">
        <v>1221</v>
      </c>
      <c r="H124" s="3" t="s">
        <v>1410</v>
      </c>
      <c r="I124" s="3" t="s">
        <v>1358</v>
      </c>
      <c r="J124" s="3" t="s">
        <v>1260</v>
      </c>
      <c r="K124" s="3" t="s">
        <v>1333</v>
      </c>
      <c r="L124" s="3" t="s">
        <v>1334</v>
      </c>
      <c r="M124" s="3" t="s">
        <v>1335</v>
      </c>
      <c r="N124" s="3" t="s">
        <v>1453</v>
      </c>
    </row>
    <row r="125" spans="1:14" x14ac:dyDescent="0.45">
      <c r="A125" s="3" t="s">
        <v>395</v>
      </c>
      <c r="B125" s="3" t="s">
        <v>1433</v>
      </c>
      <c r="C125" s="3" t="s">
        <v>1337</v>
      </c>
      <c r="D125" s="3" t="s">
        <v>1338</v>
      </c>
      <c r="E125" s="3" t="s">
        <v>1339</v>
      </c>
      <c r="F125" s="79">
        <v>992</v>
      </c>
      <c r="G125" s="3" t="s">
        <v>1221</v>
      </c>
      <c r="H125" s="3" t="s">
        <v>1410</v>
      </c>
      <c r="I125" s="3" t="s">
        <v>1358</v>
      </c>
      <c r="J125" s="3" t="s">
        <v>1260</v>
      </c>
      <c r="K125" s="3" t="s">
        <v>1340</v>
      </c>
      <c r="L125" s="3" t="s">
        <v>1341</v>
      </c>
      <c r="M125" s="3" t="s">
        <v>1342</v>
      </c>
      <c r="N125" s="3" t="s">
        <v>1454</v>
      </c>
    </row>
    <row r="126" spans="1:14" x14ac:dyDescent="0.45">
      <c r="A126" s="3" t="s">
        <v>395</v>
      </c>
      <c r="B126" s="3" t="s">
        <v>1433</v>
      </c>
      <c r="C126" s="3" t="s">
        <v>1344</v>
      </c>
      <c r="D126" s="3" t="s">
        <v>1345</v>
      </c>
      <c r="E126" s="3" t="s">
        <v>1346</v>
      </c>
      <c r="F126" s="79">
        <v>1032</v>
      </c>
      <c r="G126" s="3" t="s">
        <v>1221</v>
      </c>
      <c r="H126" s="3" t="s">
        <v>1410</v>
      </c>
      <c r="I126" s="3" t="s">
        <v>1358</v>
      </c>
      <c r="J126" s="3" t="s">
        <v>1260</v>
      </c>
      <c r="K126" s="3" t="s">
        <v>1325</v>
      </c>
      <c r="L126" s="3" t="s">
        <v>1326</v>
      </c>
      <c r="M126" s="3" t="s">
        <v>1327</v>
      </c>
      <c r="N126" s="3" t="s">
        <v>1397</v>
      </c>
    </row>
    <row r="127" spans="1:14" x14ac:dyDescent="0.45">
      <c r="A127" s="3" t="s">
        <v>395</v>
      </c>
      <c r="B127" s="3" t="s">
        <v>1433</v>
      </c>
      <c r="C127" s="3" t="s">
        <v>1348</v>
      </c>
      <c r="D127" s="3" t="s">
        <v>1255</v>
      </c>
      <c r="E127" s="3" t="s">
        <v>1346</v>
      </c>
      <c r="F127" s="79">
        <v>2855</v>
      </c>
      <c r="G127" s="3" t="s">
        <v>1221</v>
      </c>
      <c r="H127" s="3" t="s">
        <v>1410</v>
      </c>
      <c r="I127" s="3" t="s">
        <v>1358</v>
      </c>
      <c r="J127" s="3" t="s">
        <v>1260</v>
      </c>
      <c r="K127" s="3" t="s">
        <v>1325</v>
      </c>
      <c r="L127" s="3" t="s">
        <v>1326</v>
      </c>
      <c r="M127" s="3" t="s">
        <v>1327</v>
      </c>
      <c r="N127" s="3" t="s">
        <v>1455</v>
      </c>
    </row>
    <row r="128" spans="1:14" x14ac:dyDescent="0.45">
      <c r="A128" s="3" t="s">
        <v>395</v>
      </c>
      <c r="B128" s="3" t="s">
        <v>1433</v>
      </c>
      <c r="C128" s="3" t="s">
        <v>1350</v>
      </c>
      <c r="D128" s="3" t="s">
        <v>1351</v>
      </c>
      <c r="E128" s="3" t="s">
        <v>1352</v>
      </c>
      <c r="F128" s="79">
        <v>1011</v>
      </c>
      <c r="G128" s="3" t="s">
        <v>1221</v>
      </c>
      <c r="H128" s="3" t="s">
        <v>1410</v>
      </c>
      <c r="I128" s="3" t="s">
        <v>1358</v>
      </c>
      <c r="J128" s="3" t="s">
        <v>1260</v>
      </c>
      <c r="K128" s="3" t="s">
        <v>1333</v>
      </c>
      <c r="L128" s="3" t="s">
        <v>1334</v>
      </c>
      <c r="M128" s="3" t="s">
        <v>1335</v>
      </c>
      <c r="N128" s="3" t="s">
        <v>1456</v>
      </c>
    </row>
    <row r="129" spans="1:14" x14ac:dyDescent="0.45">
      <c r="A129" s="3" t="s">
        <v>395</v>
      </c>
      <c r="B129" s="3" t="s">
        <v>1433</v>
      </c>
      <c r="C129" s="3" t="s">
        <v>1354</v>
      </c>
      <c r="D129" s="3" t="s">
        <v>1355</v>
      </c>
      <c r="E129" s="3" t="s">
        <v>1356</v>
      </c>
      <c r="F129" s="79">
        <v>1211</v>
      </c>
      <c r="G129" s="3" t="s">
        <v>1221</v>
      </c>
      <c r="H129" s="3" t="s">
        <v>1410</v>
      </c>
      <c r="I129" s="3" t="s">
        <v>1358</v>
      </c>
      <c r="J129" s="3" t="s">
        <v>1260</v>
      </c>
      <c r="K129" s="3" t="s">
        <v>1340</v>
      </c>
      <c r="L129" s="3" t="s">
        <v>1341</v>
      </c>
      <c r="M129" s="3" t="s">
        <v>1342</v>
      </c>
      <c r="N129" s="3" t="s">
        <v>1457</v>
      </c>
    </row>
    <row r="130" spans="1:14" x14ac:dyDescent="0.45">
      <c r="A130" s="3" t="s">
        <v>417</v>
      </c>
      <c r="B130" s="3" t="s">
        <v>1147</v>
      </c>
      <c r="C130" s="3" t="s">
        <v>1218</v>
      </c>
      <c r="D130" s="3" t="s">
        <v>1219</v>
      </c>
      <c r="E130" s="3" t="s">
        <v>1220</v>
      </c>
      <c r="F130" s="79">
        <v>4</v>
      </c>
      <c r="G130" s="3" t="s">
        <v>1221</v>
      </c>
      <c r="H130" s="3" t="s">
        <v>1458</v>
      </c>
      <c r="I130" s="3"/>
      <c r="J130" s="3" t="s">
        <v>1224</v>
      </c>
      <c r="K130" s="3" t="s">
        <v>1225</v>
      </c>
      <c r="L130" s="3" t="s">
        <v>1226</v>
      </c>
      <c r="M130" s="3" t="s">
        <v>1227</v>
      </c>
      <c r="N130" s="3" t="s">
        <v>1459</v>
      </c>
    </row>
    <row r="131" spans="1:14" x14ac:dyDescent="0.45">
      <c r="A131" s="3" t="s">
        <v>417</v>
      </c>
      <c r="B131" s="3" t="s">
        <v>1147</v>
      </c>
      <c r="C131" s="3" t="s">
        <v>1229</v>
      </c>
      <c r="D131" s="3" t="s">
        <v>1230</v>
      </c>
      <c r="E131" s="3" t="s">
        <v>1231</v>
      </c>
      <c r="F131" s="79">
        <v>4</v>
      </c>
      <c r="G131" s="3" t="s">
        <v>1221</v>
      </c>
      <c r="H131" s="3" t="s">
        <v>1458</v>
      </c>
      <c r="I131" s="3"/>
      <c r="J131" s="3" t="s">
        <v>1224</v>
      </c>
      <c r="K131" s="3" t="s">
        <v>1232</v>
      </c>
      <c r="L131" s="3" t="s">
        <v>1233</v>
      </c>
      <c r="M131" s="3" t="s">
        <v>1234</v>
      </c>
      <c r="N131" s="3" t="s">
        <v>1459</v>
      </c>
    </row>
    <row r="132" spans="1:14" x14ac:dyDescent="0.45">
      <c r="A132" s="3" t="s">
        <v>417</v>
      </c>
      <c r="B132" s="3" t="s">
        <v>1147</v>
      </c>
      <c r="C132" s="3" t="s">
        <v>1236</v>
      </c>
      <c r="D132" s="3" t="s">
        <v>1237</v>
      </c>
      <c r="E132" s="3" t="s">
        <v>1238</v>
      </c>
      <c r="F132" s="79">
        <v>5</v>
      </c>
      <c r="G132" s="3" t="s">
        <v>1221</v>
      </c>
      <c r="H132" s="3" t="s">
        <v>1458</v>
      </c>
      <c r="I132" s="3"/>
      <c r="J132" s="3" t="s">
        <v>1224</v>
      </c>
      <c r="K132" s="3" t="s">
        <v>1239</v>
      </c>
      <c r="L132" s="3" t="s">
        <v>1240</v>
      </c>
      <c r="M132" s="3" t="s">
        <v>1241</v>
      </c>
      <c r="N132" s="3" t="s">
        <v>1460</v>
      </c>
    </row>
    <row r="133" spans="1:14" x14ac:dyDescent="0.45">
      <c r="A133" s="3" t="s">
        <v>417</v>
      </c>
      <c r="B133" s="3" t="s">
        <v>1147</v>
      </c>
      <c r="C133" s="3" t="s">
        <v>1243</v>
      </c>
      <c r="D133" s="3" t="s">
        <v>1244</v>
      </c>
      <c r="E133" s="3" t="s">
        <v>1245</v>
      </c>
      <c r="F133" s="79">
        <v>5</v>
      </c>
      <c r="G133" s="3" t="s">
        <v>1221</v>
      </c>
      <c r="H133" s="3" t="s">
        <v>1458</v>
      </c>
      <c r="I133" s="3"/>
      <c r="J133" s="3" t="s">
        <v>1224</v>
      </c>
      <c r="K133" s="3" t="s">
        <v>1246</v>
      </c>
      <c r="L133" s="3" t="s">
        <v>1247</v>
      </c>
      <c r="M133" s="3" t="s">
        <v>1248</v>
      </c>
      <c r="N133" s="3" t="s">
        <v>1460</v>
      </c>
    </row>
    <row r="134" spans="1:14" x14ac:dyDescent="0.45">
      <c r="A134" s="3" t="s">
        <v>417</v>
      </c>
      <c r="B134" s="3" t="s">
        <v>1147</v>
      </c>
      <c r="C134" s="3" t="s">
        <v>1250</v>
      </c>
      <c r="D134" s="3" t="s">
        <v>1251</v>
      </c>
      <c r="E134" s="3" t="s">
        <v>1252</v>
      </c>
      <c r="F134" s="79">
        <v>5</v>
      </c>
      <c r="G134" s="3" t="s">
        <v>1221</v>
      </c>
      <c r="H134" s="3" t="s">
        <v>1458</v>
      </c>
      <c r="I134" s="3"/>
      <c r="J134" s="3" t="s">
        <v>1224</v>
      </c>
      <c r="K134" s="3" t="s">
        <v>1246</v>
      </c>
      <c r="L134" s="3" t="s">
        <v>1247</v>
      </c>
      <c r="M134" s="3" t="s">
        <v>1248</v>
      </c>
      <c r="N134" s="3" t="s">
        <v>1460</v>
      </c>
    </row>
    <row r="135" spans="1:14" x14ac:dyDescent="0.45">
      <c r="A135" s="3" t="s">
        <v>417</v>
      </c>
      <c r="B135" s="3" t="s">
        <v>1147</v>
      </c>
      <c r="C135" s="3" t="s">
        <v>1254</v>
      </c>
      <c r="D135" s="3" t="s">
        <v>1255</v>
      </c>
      <c r="E135" s="3" t="s">
        <v>1256</v>
      </c>
      <c r="F135" s="79">
        <v>5</v>
      </c>
      <c r="G135" s="3" t="s">
        <v>1221</v>
      </c>
      <c r="H135" s="3" t="s">
        <v>1458</v>
      </c>
      <c r="I135" s="3"/>
      <c r="J135" s="3" t="s">
        <v>1224</v>
      </c>
      <c r="K135" s="3" t="s">
        <v>1246</v>
      </c>
      <c r="L135" s="3" t="s">
        <v>1247</v>
      </c>
      <c r="M135" s="3" t="s">
        <v>1248</v>
      </c>
      <c r="N135" s="3" t="s">
        <v>1460</v>
      </c>
    </row>
    <row r="136" spans="1:14" x14ac:dyDescent="0.45">
      <c r="A136" s="3" t="s">
        <v>417</v>
      </c>
      <c r="B136" s="3" t="s">
        <v>1147</v>
      </c>
      <c r="C136" s="3" t="s">
        <v>1258</v>
      </c>
      <c r="D136" s="3" t="s">
        <v>1230</v>
      </c>
      <c r="E136" s="3" t="s">
        <v>1259</v>
      </c>
      <c r="F136" s="79">
        <v>3</v>
      </c>
      <c r="G136" s="3" t="s">
        <v>1221</v>
      </c>
      <c r="H136" s="3" t="s">
        <v>1458</v>
      </c>
      <c r="I136" s="3"/>
      <c r="J136" s="3" t="s">
        <v>1260</v>
      </c>
      <c r="K136" s="3" t="s">
        <v>1261</v>
      </c>
      <c r="L136" s="3" t="s">
        <v>1262</v>
      </c>
      <c r="M136" s="3" t="s">
        <v>1263</v>
      </c>
      <c r="N136" s="3" t="s">
        <v>1461</v>
      </c>
    </row>
    <row r="137" spans="1:14" x14ac:dyDescent="0.45">
      <c r="A137" s="3" t="s">
        <v>417</v>
      </c>
      <c r="B137" s="3" t="s">
        <v>1147</v>
      </c>
      <c r="C137" s="3" t="s">
        <v>1265</v>
      </c>
      <c r="D137" s="3" t="s">
        <v>1237</v>
      </c>
      <c r="E137" s="3" t="s">
        <v>1266</v>
      </c>
      <c r="F137" s="79">
        <v>1</v>
      </c>
      <c r="G137" s="3" t="s">
        <v>1221</v>
      </c>
      <c r="H137" s="3" t="s">
        <v>1458</v>
      </c>
      <c r="I137" s="3"/>
      <c r="J137" s="3" t="s">
        <v>1260</v>
      </c>
      <c r="K137" s="3" t="s">
        <v>1267</v>
      </c>
      <c r="L137" s="3" t="s">
        <v>1268</v>
      </c>
      <c r="M137" s="3" t="s">
        <v>1269</v>
      </c>
      <c r="N137" s="3" t="s">
        <v>1462</v>
      </c>
    </row>
    <row r="138" spans="1:14" x14ac:dyDescent="0.45">
      <c r="A138" s="3" t="s">
        <v>417</v>
      </c>
      <c r="B138" s="3" t="s">
        <v>1147</v>
      </c>
      <c r="C138" s="3" t="s">
        <v>1271</v>
      </c>
      <c r="D138" s="3" t="s">
        <v>1272</v>
      </c>
      <c r="E138" s="3" t="s">
        <v>1273</v>
      </c>
      <c r="F138" s="79">
        <v>1</v>
      </c>
      <c r="G138" s="3" t="s">
        <v>1221</v>
      </c>
      <c r="H138" s="3" t="s">
        <v>1458</v>
      </c>
      <c r="I138" s="3"/>
      <c r="J138" s="3" t="s">
        <v>1260</v>
      </c>
      <c r="K138" s="3" t="s">
        <v>1274</v>
      </c>
      <c r="L138" s="3" t="s">
        <v>1275</v>
      </c>
      <c r="M138" s="3" t="s">
        <v>1276</v>
      </c>
      <c r="N138" s="3" t="s">
        <v>1462</v>
      </c>
    </row>
    <row r="139" spans="1:14" x14ac:dyDescent="0.45">
      <c r="A139" s="3" t="s">
        <v>417</v>
      </c>
      <c r="B139" s="3" t="s">
        <v>1147</v>
      </c>
      <c r="C139" s="3" t="s">
        <v>1278</v>
      </c>
      <c r="D139" s="3" t="s">
        <v>1279</v>
      </c>
      <c r="E139" s="3" t="s">
        <v>1280</v>
      </c>
      <c r="F139" s="79">
        <v>1</v>
      </c>
      <c r="G139" s="3" t="s">
        <v>1221</v>
      </c>
      <c r="H139" s="3" t="s">
        <v>1458</v>
      </c>
      <c r="I139" s="3"/>
      <c r="J139" s="3" t="s">
        <v>1260</v>
      </c>
      <c r="K139" s="3" t="s">
        <v>1281</v>
      </c>
      <c r="L139" s="3" t="s">
        <v>1282</v>
      </c>
      <c r="M139" s="3" t="s">
        <v>1283</v>
      </c>
      <c r="N139" s="3" t="s">
        <v>1462</v>
      </c>
    </row>
    <row r="140" spans="1:14" x14ac:dyDescent="0.45">
      <c r="A140" s="3" t="s">
        <v>417</v>
      </c>
      <c r="B140" s="3" t="s">
        <v>1147</v>
      </c>
      <c r="C140" s="3" t="s">
        <v>1285</v>
      </c>
      <c r="D140" s="3" t="s">
        <v>1237</v>
      </c>
      <c r="E140" s="3" t="s">
        <v>1280</v>
      </c>
      <c r="F140" s="79">
        <v>4</v>
      </c>
      <c r="G140" s="3" t="s">
        <v>1221</v>
      </c>
      <c r="H140" s="3" t="s">
        <v>1458</v>
      </c>
      <c r="I140" s="3"/>
      <c r="J140" s="3" t="s">
        <v>1260</v>
      </c>
      <c r="K140" s="3" t="s">
        <v>1281</v>
      </c>
      <c r="L140" s="3" t="s">
        <v>1282</v>
      </c>
      <c r="M140" s="3" t="s">
        <v>1283</v>
      </c>
      <c r="N140" s="3" t="s">
        <v>1459</v>
      </c>
    </row>
    <row r="141" spans="1:14" x14ac:dyDescent="0.45">
      <c r="A141" s="3" t="s">
        <v>417</v>
      </c>
      <c r="B141" s="3" t="s">
        <v>1147</v>
      </c>
      <c r="C141" s="3" t="s">
        <v>1287</v>
      </c>
      <c r="D141" s="3" t="s">
        <v>1244</v>
      </c>
      <c r="E141" s="3" t="s">
        <v>1288</v>
      </c>
      <c r="F141" s="79">
        <v>1</v>
      </c>
      <c r="G141" s="3" t="s">
        <v>1221</v>
      </c>
      <c r="H141" s="3" t="s">
        <v>1458</v>
      </c>
      <c r="I141" s="3"/>
      <c r="J141" s="3" t="s">
        <v>1260</v>
      </c>
      <c r="K141" s="3" t="s">
        <v>1289</v>
      </c>
      <c r="L141" s="3" t="s">
        <v>1290</v>
      </c>
      <c r="M141" s="3" t="s">
        <v>1291</v>
      </c>
      <c r="N141" s="3" t="s">
        <v>1462</v>
      </c>
    </row>
    <row r="142" spans="1:14" x14ac:dyDescent="0.45">
      <c r="A142" s="3" t="s">
        <v>417</v>
      </c>
      <c r="B142" s="3" t="s">
        <v>1147</v>
      </c>
      <c r="C142" s="3" t="s">
        <v>1293</v>
      </c>
      <c r="D142" s="3" t="s">
        <v>1294</v>
      </c>
      <c r="E142" s="3" t="s">
        <v>1295</v>
      </c>
      <c r="F142" s="79">
        <v>1</v>
      </c>
      <c r="G142" s="3" t="s">
        <v>1221</v>
      </c>
      <c r="H142" s="3" t="s">
        <v>1458</v>
      </c>
      <c r="I142" s="3"/>
      <c r="J142" s="3" t="s">
        <v>1260</v>
      </c>
      <c r="K142" s="3" t="s">
        <v>1296</v>
      </c>
      <c r="L142" s="3" t="s">
        <v>1297</v>
      </c>
      <c r="M142" s="3" t="s">
        <v>1298</v>
      </c>
      <c r="N142" s="3" t="s">
        <v>1462</v>
      </c>
    </row>
    <row r="143" spans="1:14" x14ac:dyDescent="0.45">
      <c r="A143" s="3" t="s">
        <v>417</v>
      </c>
      <c r="B143" s="3" t="s">
        <v>1147</v>
      </c>
      <c r="C143" s="3" t="s">
        <v>1300</v>
      </c>
      <c r="D143" s="3" t="s">
        <v>1301</v>
      </c>
      <c r="E143" s="3" t="s">
        <v>1302</v>
      </c>
      <c r="F143" s="79">
        <v>1</v>
      </c>
      <c r="G143" s="3" t="s">
        <v>1221</v>
      </c>
      <c r="H143" s="3" t="s">
        <v>1458</v>
      </c>
      <c r="I143" s="3"/>
      <c r="J143" s="3" t="s">
        <v>1260</v>
      </c>
      <c r="K143" s="3" t="s">
        <v>1303</v>
      </c>
      <c r="L143" s="3" t="s">
        <v>1304</v>
      </c>
      <c r="M143" s="3" t="s">
        <v>1305</v>
      </c>
      <c r="N143" s="3" t="s">
        <v>1462</v>
      </c>
    </row>
    <row r="144" spans="1:14" x14ac:dyDescent="0.45">
      <c r="A144" s="3" t="s">
        <v>417</v>
      </c>
      <c r="B144" s="3" t="s">
        <v>1147</v>
      </c>
      <c r="C144" s="3" t="s">
        <v>1307</v>
      </c>
      <c r="D144" s="3" t="s">
        <v>1244</v>
      </c>
      <c r="E144" s="3" t="s">
        <v>1302</v>
      </c>
      <c r="F144" s="79">
        <v>4</v>
      </c>
      <c r="G144" s="3" t="s">
        <v>1221</v>
      </c>
      <c r="H144" s="3" t="s">
        <v>1458</v>
      </c>
      <c r="I144" s="3"/>
      <c r="J144" s="3" t="s">
        <v>1260</v>
      </c>
      <c r="K144" s="3" t="s">
        <v>1303</v>
      </c>
      <c r="L144" s="3" t="s">
        <v>1304</v>
      </c>
      <c r="M144" s="3" t="s">
        <v>1305</v>
      </c>
      <c r="N144" s="3" t="s">
        <v>1459</v>
      </c>
    </row>
    <row r="145" spans="1:14" x14ac:dyDescent="0.45">
      <c r="A145" s="3" t="s">
        <v>417</v>
      </c>
      <c r="B145" s="3" t="s">
        <v>1147</v>
      </c>
      <c r="C145" s="3" t="s">
        <v>1309</v>
      </c>
      <c r="D145" s="3" t="s">
        <v>1251</v>
      </c>
      <c r="E145" s="3" t="s">
        <v>1310</v>
      </c>
      <c r="F145" s="79">
        <v>1</v>
      </c>
      <c r="G145" s="3" t="s">
        <v>1221</v>
      </c>
      <c r="H145" s="3" t="s">
        <v>1458</v>
      </c>
      <c r="I145" s="3"/>
      <c r="J145" s="3" t="s">
        <v>1260</v>
      </c>
      <c r="K145" s="3" t="s">
        <v>1311</v>
      </c>
      <c r="L145" s="3" t="s">
        <v>1312</v>
      </c>
      <c r="M145" s="3" t="s">
        <v>1313</v>
      </c>
      <c r="N145" s="3" t="s">
        <v>1462</v>
      </c>
    </row>
    <row r="146" spans="1:14" x14ac:dyDescent="0.45">
      <c r="A146" s="3" t="s">
        <v>417</v>
      </c>
      <c r="B146" s="3" t="s">
        <v>1147</v>
      </c>
      <c r="C146" s="3" t="s">
        <v>1315</v>
      </c>
      <c r="D146" s="3" t="s">
        <v>1316</v>
      </c>
      <c r="E146" s="3" t="s">
        <v>1317</v>
      </c>
      <c r="F146" s="79">
        <v>1</v>
      </c>
      <c r="G146" s="3" t="s">
        <v>1221</v>
      </c>
      <c r="H146" s="3" t="s">
        <v>1458</v>
      </c>
      <c r="I146" s="3"/>
      <c r="J146" s="3" t="s">
        <v>1260</v>
      </c>
      <c r="K146" s="3" t="s">
        <v>1318</v>
      </c>
      <c r="L146" s="3" t="s">
        <v>1319</v>
      </c>
      <c r="M146" s="3" t="s">
        <v>1320</v>
      </c>
      <c r="N146" s="3" t="s">
        <v>1462</v>
      </c>
    </row>
    <row r="147" spans="1:14" x14ac:dyDescent="0.45">
      <c r="A147" s="3" t="s">
        <v>417</v>
      </c>
      <c r="B147" s="3" t="s">
        <v>1147</v>
      </c>
      <c r="C147" s="3" t="s">
        <v>1322</v>
      </c>
      <c r="D147" s="3" t="s">
        <v>1323</v>
      </c>
      <c r="E147" s="3" t="s">
        <v>1324</v>
      </c>
      <c r="F147" s="79">
        <v>1</v>
      </c>
      <c r="G147" s="3" t="s">
        <v>1221</v>
      </c>
      <c r="H147" s="3" t="s">
        <v>1458</v>
      </c>
      <c r="I147" s="3"/>
      <c r="J147" s="3" t="s">
        <v>1260</v>
      </c>
      <c r="K147" s="3" t="s">
        <v>1325</v>
      </c>
      <c r="L147" s="3" t="s">
        <v>1326</v>
      </c>
      <c r="M147" s="3" t="s">
        <v>1327</v>
      </c>
      <c r="N147" s="3" t="s">
        <v>1462</v>
      </c>
    </row>
    <row r="148" spans="1:14" x14ac:dyDescent="0.45">
      <c r="A148" s="3" t="s">
        <v>417</v>
      </c>
      <c r="B148" s="3" t="s">
        <v>1147</v>
      </c>
      <c r="C148" s="3" t="s">
        <v>1329</v>
      </c>
      <c r="D148" s="3" t="s">
        <v>1251</v>
      </c>
      <c r="E148" s="3" t="s">
        <v>1324</v>
      </c>
      <c r="F148" s="79">
        <v>4</v>
      </c>
      <c r="G148" s="3" t="s">
        <v>1221</v>
      </c>
      <c r="H148" s="3" t="s">
        <v>1458</v>
      </c>
      <c r="I148" s="3"/>
      <c r="J148" s="3" t="s">
        <v>1260</v>
      </c>
      <c r="K148" s="3" t="s">
        <v>1325</v>
      </c>
      <c r="L148" s="3" t="s">
        <v>1326</v>
      </c>
      <c r="M148" s="3" t="s">
        <v>1327</v>
      </c>
      <c r="N148" s="3" t="s">
        <v>1459</v>
      </c>
    </row>
    <row r="149" spans="1:14" x14ac:dyDescent="0.45">
      <c r="A149" s="3" t="s">
        <v>417</v>
      </c>
      <c r="B149" s="3" t="s">
        <v>1147</v>
      </c>
      <c r="C149" s="3" t="s">
        <v>1331</v>
      </c>
      <c r="D149" s="3" t="s">
        <v>1255</v>
      </c>
      <c r="E149" s="3" t="s">
        <v>1332</v>
      </c>
      <c r="F149" s="79">
        <v>1</v>
      </c>
      <c r="G149" s="3" t="s">
        <v>1221</v>
      </c>
      <c r="H149" s="3" t="s">
        <v>1458</v>
      </c>
      <c r="I149" s="3"/>
      <c r="J149" s="3" t="s">
        <v>1260</v>
      </c>
      <c r="K149" s="3" t="s">
        <v>1333</v>
      </c>
      <c r="L149" s="3" t="s">
        <v>1334</v>
      </c>
      <c r="M149" s="3" t="s">
        <v>1335</v>
      </c>
      <c r="N149" s="3" t="s">
        <v>1462</v>
      </c>
    </row>
    <row r="150" spans="1:14" x14ac:dyDescent="0.45">
      <c r="A150" s="3" t="s">
        <v>417</v>
      </c>
      <c r="B150" s="3" t="s">
        <v>1147</v>
      </c>
      <c r="C150" s="3" t="s">
        <v>1337</v>
      </c>
      <c r="D150" s="3" t="s">
        <v>1338</v>
      </c>
      <c r="E150" s="3" t="s">
        <v>1339</v>
      </c>
      <c r="F150" s="79">
        <v>1</v>
      </c>
      <c r="G150" s="3" t="s">
        <v>1221</v>
      </c>
      <c r="H150" s="3" t="s">
        <v>1458</v>
      </c>
      <c r="I150" s="3"/>
      <c r="J150" s="3" t="s">
        <v>1260</v>
      </c>
      <c r="K150" s="3" t="s">
        <v>1340</v>
      </c>
      <c r="L150" s="3" t="s">
        <v>1341</v>
      </c>
      <c r="M150" s="3" t="s">
        <v>1342</v>
      </c>
      <c r="N150" s="3" t="s">
        <v>1462</v>
      </c>
    </row>
    <row r="151" spans="1:14" x14ac:dyDescent="0.45">
      <c r="A151" s="3" t="s">
        <v>417</v>
      </c>
      <c r="B151" s="3" t="s">
        <v>1147</v>
      </c>
      <c r="C151" s="3" t="s">
        <v>1344</v>
      </c>
      <c r="D151" s="3" t="s">
        <v>1345</v>
      </c>
      <c r="E151" s="3" t="s">
        <v>1346</v>
      </c>
      <c r="F151" s="79">
        <v>1</v>
      </c>
      <c r="G151" s="3" t="s">
        <v>1221</v>
      </c>
      <c r="H151" s="3" t="s">
        <v>1458</v>
      </c>
      <c r="I151" s="3"/>
      <c r="J151" s="3" t="s">
        <v>1260</v>
      </c>
      <c r="K151" s="3" t="s">
        <v>1325</v>
      </c>
      <c r="L151" s="3" t="s">
        <v>1326</v>
      </c>
      <c r="M151" s="3" t="s">
        <v>1327</v>
      </c>
      <c r="N151" s="3" t="s">
        <v>1462</v>
      </c>
    </row>
    <row r="152" spans="1:14" x14ac:dyDescent="0.45">
      <c r="A152" s="3" t="s">
        <v>417</v>
      </c>
      <c r="B152" s="3" t="s">
        <v>1147</v>
      </c>
      <c r="C152" s="3" t="s">
        <v>1348</v>
      </c>
      <c r="D152" s="3" t="s">
        <v>1255</v>
      </c>
      <c r="E152" s="3" t="s">
        <v>1346</v>
      </c>
      <c r="F152" s="79">
        <v>3</v>
      </c>
      <c r="G152" s="3" t="s">
        <v>1221</v>
      </c>
      <c r="H152" s="3" t="s">
        <v>1458</v>
      </c>
      <c r="I152" s="3"/>
      <c r="J152" s="3" t="s">
        <v>1260</v>
      </c>
      <c r="K152" s="3" t="s">
        <v>1325</v>
      </c>
      <c r="L152" s="3" t="s">
        <v>1326</v>
      </c>
      <c r="M152" s="3" t="s">
        <v>1327</v>
      </c>
      <c r="N152" s="3" t="s">
        <v>1461</v>
      </c>
    </row>
    <row r="153" spans="1:14" x14ac:dyDescent="0.45">
      <c r="A153" s="3" t="s">
        <v>417</v>
      </c>
      <c r="B153" s="3" t="s">
        <v>1147</v>
      </c>
      <c r="C153" s="3" t="s">
        <v>1350</v>
      </c>
      <c r="D153" s="3" t="s">
        <v>1351</v>
      </c>
      <c r="E153" s="3" t="s">
        <v>1352</v>
      </c>
      <c r="F153" s="79">
        <v>1</v>
      </c>
      <c r="G153" s="3" t="s">
        <v>1221</v>
      </c>
      <c r="H153" s="3" t="s">
        <v>1458</v>
      </c>
      <c r="I153" s="3"/>
      <c r="J153" s="3" t="s">
        <v>1260</v>
      </c>
      <c r="K153" s="3" t="s">
        <v>1333</v>
      </c>
      <c r="L153" s="3" t="s">
        <v>1334</v>
      </c>
      <c r="M153" s="3" t="s">
        <v>1335</v>
      </c>
      <c r="N153" s="3" t="s">
        <v>1462</v>
      </c>
    </row>
    <row r="154" spans="1:14" x14ac:dyDescent="0.45">
      <c r="A154" s="3" t="s">
        <v>417</v>
      </c>
      <c r="B154" s="3" t="s">
        <v>1147</v>
      </c>
      <c r="C154" s="3" t="s">
        <v>1354</v>
      </c>
      <c r="D154" s="3" t="s">
        <v>1355</v>
      </c>
      <c r="E154" s="3" t="s">
        <v>1356</v>
      </c>
      <c r="F154" s="79">
        <v>1</v>
      </c>
      <c r="G154" s="3" t="s">
        <v>1221</v>
      </c>
      <c r="H154" s="3" t="s">
        <v>1458</v>
      </c>
      <c r="I154" s="3"/>
      <c r="J154" s="3" t="s">
        <v>1260</v>
      </c>
      <c r="K154" s="3" t="s">
        <v>1340</v>
      </c>
      <c r="L154" s="3" t="s">
        <v>1341</v>
      </c>
      <c r="M154" s="3" t="s">
        <v>1342</v>
      </c>
      <c r="N154" s="3" t="s">
        <v>1462</v>
      </c>
    </row>
    <row r="155" spans="1:14" x14ac:dyDescent="0.45">
      <c r="A155" s="3" t="s">
        <v>443</v>
      </c>
      <c r="B155" s="3" t="s">
        <v>444</v>
      </c>
      <c r="C155" s="3" t="s">
        <v>1218</v>
      </c>
      <c r="D155" s="3" t="s">
        <v>1219</v>
      </c>
      <c r="E155" s="3" t="s">
        <v>1220</v>
      </c>
      <c r="F155" s="79">
        <v>683</v>
      </c>
      <c r="G155" s="3" t="s">
        <v>1221</v>
      </c>
      <c r="H155" s="3" t="s">
        <v>1463</v>
      </c>
      <c r="I155" s="3"/>
      <c r="J155" s="3" t="s">
        <v>1224</v>
      </c>
      <c r="K155" s="3" t="s">
        <v>1225</v>
      </c>
      <c r="L155" s="3" t="s">
        <v>1226</v>
      </c>
      <c r="M155" s="3" t="s">
        <v>1227</v>
      </c>
      <c r="N155" s="3" t="s">
        <v>1449</v>
      </c>
    </row>
    <row r="156" spans="1:14" x14ac:dyDescent="0.45">
      <c r="A156" s="3" t="s">
        <v>443</v>
      </c>
      <c r="B156" s="3" t="s">
        <v>444</v>
      </c>
      <c r="C156" s="3" t="s">
        <v>1229</v>
      </c>
      <c r="D156" s="3" t="s">
        <v>1230</v>
      </c>
      <c r="E156" s="3" t="s">
        <v>1231</v>
      </c>
      <c r="F156" s="79">
        <v>1391</v>
      </c>
      <c r="G156" s="3" t="s">
        <v>1221</v>
      </c>
      <c r="H156" s="3" t="s">
        <v>1463</v>
      </c>
      <c r="I156" s="3"/>
      <c r="J156" s="3" t="s">
        <v>1224</v>
      </c>
      <c r="K156" s="3" t="s">
        <v>1232</v>
      </c>
      <c r="L156" s="3" t="s">
        <v>1233</v>
      </c>
      <c r="M156" s="3" t="s">
        <v>1234</v>
      </c>
      <c r="N156" s="3" t="s">
        <v>1464</v>
      </c>
    </row>
    <row r="157" spans="1:14" x14ac:dyDescent="0.45">
      <c r="A157" s="3" t="s">
        <v>443</v>
      </c>
      <c r="B157" s="3" t="s">
        <v>444</v>
      </c>
      <c r="C157" s="3" t="s">
        <v>1236</v>
      </c>
      <c r="D157" s="3" t="s">
        <v>1237</v>
      </c>
      <c r="E157" s="3" t="s">
        <v>1238</v>
      </c>
      <c r="F157" s="79">
        <v>2220</v>
      </c>
      <c r="G157" s="3" t="s">
        <v>1221</v>
      </c>
      <c r="H157" s="3" t="s">
        <v>1463</v>
      </c>
      <c r="I157" s="3"/>
      <c r="J157" s="3" t="s">
        <v>1224</v>
      </c>
      <c r="K157" s="3" t="s">
        <v>1239</v>
      </c>
      <c r="L157" s="3" t="s">
        <v>1240</v>
      </c>
      <c r="M157" s="3" t="s">
        <v>1241</v>
      </c>
      <c r="N157" s="3" t="s">
        <v>1465</v>
      </c>
    </row>
    <row r="158" spans="1:14" x14ac:dyDescent="0.45">
      <c r="A158" s="3" t="s">
        <v>443</v>
      </c>
      <c r="B158" s="3" t="s">
        <v>444</v>
      </c>
      <c r="C158" s="3" t="s">
        <v>1243</v>
      </c>
      <c r="D158" s="3" t="s">
        <v>1244</v>
      </c>
      <c r="E158" s="3" t="s">
        <v>1245</v>
      </c>
      <c r="F158" s="79">
        <v>3031</v>
      </c>
      <c r="G158" s="3" t="s">
        <v>1221</v>
      </c>
      <c r="H158" s="3" t="s">
        <v>1463</v>
      </c>
      <c r="I158" s="3"/>
      <c r="J158" s="3" t="s">
        <v>1224</v>
      </c>
      <c r="K158" s="3" t="s">
        <v>1246</v>
      </c>
      <c r="L158" s="3" t="s">
        <v>1247</v>
      </c>
      <c r="M158" s="3" t="s">
        <v>1248</v>
      </c>
      <c r="N158" s="3" t="s">
        <v>1466</v>
      </c>
    </row>
    <row r="159" spans="1:14" x14ac:dyDescent="0.45">
      <c r="A159" s="3" t="s">
        <v>443</v>
      </c>
      <c r="B159" s="3" t="s">
        <v>444</v>
      </c>
      <c r="C159" s="3" t="s">
        <v>1250</v>
      </c>
      <c r="D159" s="3" t="s">
        <v>1251</v>
      </c>
      <c r="E159" s="3" t="s">
        <v>1252</v>
      </c>
      <c r="F159" s="79">
        <v>3770</v>
      </c>
      <c r="G159" s="3" t="s">
        <v>1221</v>
      </c>
      <c r="H159" s="3" t="s">
        <v>1463</v>
      </c>
      <c r="I159" s="3"/>
      <c r="J159" s="3" t="s">
        <v>1224</v>
      </c>
      <c r="K159" s="3" t="s">
        <v>1246</v>
      </c>
      <c r="L159" s="3" t="s">
        <v>1247</v>
      </c>
      <c r="M159" s="3" t="s">
        <v>1248</v>
      </c>
      <c r="N159" s="3" t="s">
        <v>1467</v>
      </c>
    </row>
    <row r="160" spans="1:14" x14ac:dyDescent="0.45">
      <c r="A160" s="3" t="s">
        <v>443</v>
      </c>
      <c r="B160" s="3" t="s">
        <v>444</v>
      </c>
      <c r="C160" s="3" t="s">
        <v>1254</v>
      </c>
      <c r="D160" s="3" t="s">
        <v>1255</v>
      </c>
      <c r="E160" s="3" t="s">
        <v>1256</v>
      </c>
      <c r="F160" s="79">
        <v>4560</v>
      </c>
      <c r="G160" s="3" t="s">
        <v>1221</v>
      </c>
      <c r="H160" s="3" t="s">
        <v>1463</v>
      </c>
      <c r="I160" s="3"/>
      <c r="J160" s="3" t="s">
        <v>1224</v>
      </c>
      <c r="K160" s="3" t="s">
        <v>1246</v>
      </c>
      <c r="L160" s="3" t="s">
        <v>1247</v>
      </c>
      <c r="M160" s="3" t="s">
        <v>1248</v>
      </c>
      <c r="N160" s="3" t="s">
        <v>1468</v>
      </c>
    </row>
    <row r="161" spans="1:14" x14ac:dyDescent="0.45">
      <c r="A161" s="3" t="s">
        <v>443</v>
      </c>
      <c r="B161" s="3" t="s">
        <v>444</v>
      </c>
      <c r="C161" s="3" t="s">
        <v>1258</v>
      </c>
      <c r="D161" s="3" t="s">
        <v>1230</v>
      </c>
      <c r="E161" s="3" t="s">
        <v>1259</v>
      </c>
      <c r="F161" s="79">
        <v>952</v>
      </c>
      <c r="G161" s="3" t="s">
        <v>1221</v>
      </c>
      <c r="H161" s="3" t="s">
        <v>1463</v>
      </c>
      <c r="I161" s="3"/>
      <c r="J161" s="3" t="s">
        <v>1260</v>
      </c>
      <c r="K161" s="3" t="s">
        <v>1261</v>
      </c>
      <c r="L161" s="3" t="s">
        <v>1262</v>
      </c>
      <c r="M161" s="3" t="s">
        <v>1263</v>
      </c>
      <c r="N161" s="3" t="s">
        <v>1469</v>
      </c>
    </row>
    <row r="162" spans="1:14" x14ac:dyDescent="0.45">
      <c r="A162" s="3" t="s">
        <v>443</v>
      </c>
      <c r="B162" s="3" t="s">
        <v>444</v>
      </c>
      <c r="C162" s="3" t="s">
        <v>1265</v>
      </c>
      <c r="D162" s="3" t="s">
        <v>1237</v>
      </c>
      <c r="E162" s="3" t="s">
        <v>1266</v>
      </c>
      <c r="F162" s="79">
        <v>446</v>
      </c>
      <c r="G162" s="3" t="s">
        <v>1221</v>
      </c>
      <c r="H162" s="3" t="s">
        <v>1463</v>
      </c>
      <c r="I162" s="3"/>
      <c r="J162" s="3" t="s">
        <v>1260</v>
      </c>
      <c r="K162" s="3" t="s">
        <v>1267</v>
      </c>
      <c r="L162" s="3" t="s">
        <v>1268</v>
      </c>
      <c r="M162" s="3" t="s">
        <v>1269</v>
      </c>
      <c r="N162" s="3" t="s">
        <v>1470</v>
      </c>
    </row>
    <row r="163" spans="1:14" x14ac:dyDescent="0.45">
      <c r="A163" s="3" t="s">
        <v>443</v>
      </c>
      <c r="B163" s="3" t="s">
        <v>444</v>
      </c>
      <c r="C163" s="3" t="s">
        <v>1271</v>
      </c>
      <c r="D163" s="3" t="s">
        <v>1272</v>
      </c>
      <c r="E163" s="3" t="s">
        <v>1273</v>
      </c>
      <c r="F163" s="79">
        <v>562</v>
      </c>
      <c r="G163" s="3" t="s">
        <v>1221</v>
      </c>
      <c r="H163" s="3" t="s">
        <v>1463</v>
      </c>
      <c r="I163" s="3"/>
      <c r="J163" s="3" t="s">
        <v>1260</v>
      </c>
      <c r="K163" s="3" t="s">
        <v>1274</v>
      </c>
      <c r="L163" s="3" t="s">
        <v>1275</v>
      </c>
      <c r="M163" s="3" t="s">
        <v>1276</v>
      </c>
      <c r="N163" s="3" t="s">
        <v>1367</v>
      </c>
    </row>
    <row r="164" spans="1:14" x14ac:dyDescent="0.45">
      <c r="A164" s="3" t="s">
        <v>443</v>
      </c>
      <c r="B164" s="3" t="s">
        <v>444</v>
      </c>
      <c r="C164" s="3" t="s">
        <v>1278</v>
      </c>
      <c r="D164" s="3" t="s">
        <v>1279</v>
      </c>
      <c r="E164" s="3" t="s">
        <v>1280</v>
      </c>
      <c r="F164" s="79">
        <v>601</v>
      </c>
      <c r="G164" s="3" t="s">
        <v>1221</v>
      </c>
      <c r="H164" s="3" t="s">
        <v>1463</v>
      </c>
      <c r="I164" s="3"/>
      <c r="J164" s="3" t="s">
        <v>1260</v>
      </c>
      <c r="K164" s="3" t="s">
        <v>1281</v>
      </c>
      <c r="L164" s="3" t="s">
        <v>1282</v>
      </c>
      <c r="M164" s="3" t="s">
        <v>1283</v>
      </c>
      <c r="N164" s="3" t="s">
        <v>1471</v>
      </c>
    </row>
    <row r="165" spans="1:14" x14ac:dyDescent="0.45">
      <c r="A165" s="3" t="s">
        <v>443</v>
      </c>
      <c r="B165" s="3" t="s">
        <v>444</v>
      </c>
      <c r="C165" s="3" t="s">
        <v>1285</v>
      </c>
      <c r="D165" s="3" t="s">
        <v>1237</v>
      </c>
      <c r="E165" s="3" t="s">
        <v>1280</v>
      </c>
      <c r="F165" s="79">
        <v>1610</v>
      </c>
      <c r="G165" s="3" t="s">
        <v>1221</v>
      </c>
      <c r="H165" s="3" t="s">
        <v>1463</v>
      </c>
      <c r="I165" s="3"/>
      <c r="J165" s="3" t="s">
        <v>1260</v>
      </c>
      <c r="K165" s="3" t="s">
        <v>1281</v>
      </c>
      <c r="L165" s="3" t="s">
        <v>1282</v>
      </c>
      <c r="M165" s="3" t="s">
        <v>1283</v>
      </c>
      <c r="N165" s="3" t="s">
        <v>1472</v>
      </c>
    </row>
    <row r="166" spans="1:14" x14ac:dyDescent="0.45">
      <c r="A166" s="3" t="s">
        <v>443</v>
      </c>
      <c r="B166" s="3" t="s">
        <v>444</v>
      </c>
      <c r="C166" s="3" t="s">
        <v>1287</v>
      </c>
      <c r="D166" s="3" t="s">
        <v>1244</v>
      </c>
      <c r="E166" s="3" t="s">
        <v>1288</v>
      </c>
      <c r="F166" s="79">
        <v>645</v>
      </c>
      <c r="G166" s="3" t="s">
        <v>1221</v>
      </c>
      <c r="H166" s="3" t="s">
        <v>1463</v>
      </c>
      <c r="I166" s="3"/>
      <c r="J166" s="3" t="s">
        <v>1260</v>
      </c>
      <c r="K166" s="3" t="s">
        <v>1289</v>
      </c>
      <c r="L166" s="3" t="s">
        <v>1290</v>
      </c>
      <c r="M166" s="3" t="s">
        <v>1291</v>
      </c>
      <c r="N166" s="3" t="s">
        <v>1473</v>
      </c>
    </row>
    <row r="167" spans="1:14" x14ac:dyDescent="0.45">
      <c r="A167" s="3" t="s">
        <v>443</v>
      </c>
      <c r="B167" s="3" t="s">
        <v>444</v>
      </c>
      <c r="C167" s="3" t="s">
        <v>1293</v>
      </c>
      <c r="D167" s="3" t="s">
        <v>1294</v>
      </c>
      <c r="E167" s="3" t="s">
        <v>1295</v>
      </c>
      <c r="F167" s="79">
        <v>770</v>
      </c>
      <c r="G167" s="3" t="s">
        <v>1221</v>
      </c>
      <c r="H167" s="3" t="s">
        <v>1463</v>
      </c>
      <c r="I167" s="3"/>
      <c r="J167" s="3" t="s">
        <v>1260</v>
      </c>
      <c r="K167" s="3" t="s">
        <v>1296</v>
      </c>
      <c r="L167" s="3" t="s">
        <v>1297</v>
      </c>
      <c r="M167" s="3" t="s">
        <v>1298</v>
      </c>
      <c r="N167" s="3" t="s">
        <v>1474</v>
      </c>
    </row>
    <row r="168" spans="1:14" x14ac:dyDescent="0.45">
      <c r="A168" s="3" t="s">
        <v>443</v>
      </c>
      <c r="B168" s="3" t="s">
        <v>444</v>
      </c>
      <c r="C168" s="3" t="s">
        <v>1300</v>
      </c>
      <c r="D168" s="3" t="s">
        <v>1301</v>
      </c>
      <c r="E168" s="3" t="s">
        <v>1302</v>
      </c>
      <c r="F168" s="79">
        <v>806</v>
      </c>
      <c r="G168" s="3" t="s">
        <v>1221</v>
      </c>
      <c r="H168" s="3" t="s">
        <v>1463</v>
      </c>
      <c r="I168" s="3"/>
      <c r="J168" s="3" t="s">
        <v>1260</v>
      </c>
      <c r="K168" s="3" t="s">
        <v>1303</v>
      </c>
      <c r="L168" s="3" t="s">
        <v>1304</v>
      </c>
      <c r="M168" s="3" t="s">
        <v>1305</v>
      </c>
      <c r="N168" s="3" t="s">
        <v>1450</v>
      </c>
    </row>
    <row r="169" spans="1:14" x14ac:dyDescent="0.45">
      <c r="A169" s="3" t="s">
        <v>443</v>
      </c>
      <c r="B169" s="3" t="s">
        <v>444</v>
      </c>
      <c r="C169" s="3" t="s">
        <v>1307</v>
      </c>
      <c r="D169" s="3" t="s">
        <v>1244</v>
      </c>
      <c r="E169" s="3" t="s">
        <v>1302</v>
      </c>
      <c r="F169" s="79">
        <v>2221</v>
      </c>
      <c r="G169" s="3" t="s">
        <v>1221</v>
      </c>
      <c r="H169" s="3" t="s">
        <v>1463</v>
      </c>
      <c r="I169" s="3"/>
      <c r="J169" s="3" t="s">
        <v>1260</v>
      </c>
      <c r="K169" s="3" t="s">
        <v>1303</v>
      </c>
      <c r="L169" s="3" t="s">
        <v>1304</v>
      </c>
      <c r="M169" s="3" t="s">
        <v>1305</v>
      </c>
      <c r="N169" s="3" t="s">
        <v>1475</v>
      </c>
    </row>
    <row r="170" spans="1:14" x14ac:dyDescent="0.45">
      <c r="A170" s="3" t="s">
        <v>443</v>
      </c>
      <c r="B170" s="3" t="s">
        <v>444</v>
      </c>
      <c r="C170" s="3" t="s">
        <v>1309</v>
      </c>
      <c r="D170" s="3" t="s">
        <v>1251</v>
      </c>
      <c r="E170" s="3" t="s">
        <v>1310</v>
      </c>
      <c r="F170" s="79">
        <v>826</v>
      </c>
      <c r="G170" s="3" t="s">
        <v>1221</v>
      </c>
      <c r="H170" s="3" t="s">
        <v>1463</v>
      </c>
      <c r="I170" s="3"/>
      <c r="J170" s="3" t="s">
        <v>1260</v>
      </c>
      <c r="K170" s="3" t="s">
        <v>1311</v>
      </c>
      <c r="L170" s="3" t="s">
        <v>1312</v>
      </c>
      <c r="M170" s="3" t="s">
        <v>1313</v>
      </c>
      <c r="N170" s="3" t="s">
        <v>1476</v>
      </c>
    </row>
    <row r="171" spans="1:14" x14ac:dyDescent="0.45">
      <c r="A171" s="3" t="s">
        <v>443</v>
      </c>
      <c r="B171" s="3" t="s">
        <v>444</v>
      </c>
      <c r="C171" s="3" t="s">
        <v>1315</v>
      </c>
      <c r="D171" s="3" t="s">
        <v>1316</v>
      </c>
      <c r="E171" s="3" t="s">
        <v>1317</v>
      </c>
      <c r="F171" s="79">
        <v>956</v>
      </c>
      <c r="G171" s="3" t="s">
        <v>1221</v>
      </c>
      <c r="H171" s="3" t="s">
        <v>1463</v>
      </c>
      <c r="I171" s="3"/>
      <c r="J171" s="3" t="s">
        <v>1260</v>
      </c>
      <c r="K171" s="3" t="s">
        <v>1318</v>
      </c>
      <c r="L171" s="3" t="s">
        <v>1319</v>
      </c>
      <c r="M171" s="3" t="s">
        <v>1320</v>
      </c>
      <c r="N171" s="3" t="s">
        <v>1477</v>
      </c>
    </row>
    <row r="172" spans="1:14" x14ac:dyDescent="0.45">
      <c r="A172" s="3" t="s">
        <v>443</v>
      </c>
      <c r="B172" s="3" t="s">
        <v>444</v>
      </c>
      <c r="C172" s="3" t="s">
        <v>1322</v>
      </c>
      <c r="D172" s="3" t="s">
        <v>1323</v>
      </c>
      <c r="E172" s="3" t="s">
        <v>1324</v>
      </c>
      <c r="F172" s="79">
        <v>983</v>
      </c>
      <c r="G172" s="3" t="s">
        <v>1221</v>
      </c>
      <c r="H172" s="3" t="s">
        <v>1463</v>
      </c>
      <c r="I172" s="3"/>
      <c r="J172" s="3" t="s">
        <v>1260</v>
      </c>
      <c r="K172" s="3" t="s">
        <v>1325</v>
      </c>
      <c r="L172" s="3" t="s">
        <v>1326</v>
      </c>
      <c r="M172" s="3" t="s">
        <v>1327</v>
      </c>
      <c r="N172" s="3" t="s">
        <v>1478</v>
      </c>
    </row>
    <row r="173" spans="1:14" x14ac:dyDescent="0.45">
      <c r="A173" s="3" t="s">
        <v>443</v>
      </c>
      <c r="B173" s="3" t="s">
        <v>444</v>
      </c>
      <c r="C173" s="3" t="s">
        <v>1329</v>
      </c>
      <c r="D173" s="3" t="s">
        <v>1251</v>
      </c>
      <c r="E173" s="3" t="s">
        <v>1324</v>
      </c>
      <c r="F173" s="79">
        <v>2765</v>
      </c>
      <c r="G173" s="3" t="s">
        <v>1221</v>
      </c>
      <c r="H173" s="3" t="s">
        <v>1463</v>
      </c>
      <c r="I173" s="3"/>
      <c r="J173" s="3" t="s">
        <v>1260</v>
      </c>
      <c r="K173" s="3" t="s">
        <v>1325</v>
      </c>
      <c r="L173" s="3" t="s">
        <v>1326</v>
      </c>
      <c r="M173" s="3" t="s">
        <v>1327</v>
      </c>
      <c r="N173" s="3" t="s">
        <v>1479</v>
      </c>
    </row>
    <row r="174" spans="1:14" x14ac:dyDescent="0.45">
      <c r="A174" s="3" t="s">
        <v>443</v>
      </c>
      <c r="B174" s="3" t="s">
        <v>444</v>
      </c>
      <c r="C174" s="3" t="s">
        <v>1331</v>
      </c>
      <c r="D174" s="3" t="s">
        <v>1255</v>
      </c>
      <c r="E174" s="3" t="s">
        <v>1332</v>
      </c>
      <c r="F174" s="79">
        <v>991</v>
      </c>
      <c r="G174" s="3" t="s">
        <v>1221</v>
      </c>
      <c r="H174" s="3" t="s">
        <v>1463</v>
      </c>
      <c r="I174" s="3"/>
      <c r="J174" s="3" t="s">
        <v>1260</v>
      </c>
      <c r="K174" s="3" t="s">
        <v>1333</v>
      </c>
      <c r="L174" s="3" t="s">
        <v>1334</v>
      </c>
      <c r="M174" s="3" t="s">
        <v>1335</v>
      </c>
      <c r="N174" s="3" t="s">
        <v>1480</v>
      </c>
    </row>
    <row r="175" spans="1:14" x14ac:dyDescent="0.45">
      <c r="A175" s="3" t="s">
        <v>443</v>
      </c>
      <c r="B175" s="3" t="s">
        <v>444</v>
      </c>
      <c r="C175" s="3" t="s">
        <v>1337</v>
      </c>
      <c r="D175" s="3" t="s">
        <v>1338</v>
      </c>
      <c r="E175" s="3" t="s">
        <v>1339</v>
      </c>
      <c r="F175" s="79">
        <v>1158</v>
      </c>
      <c r="G175" s="3" t="s">
        <v>1221</v>
      </c>
      <c r="H175" s="3" t="s">
        <v>1463</v>
      </c>
      <c r="I175" s="3"/>
      <c r="J175" s="3" t="s">
        <v>1260</v>
      </c>
      <c r="K175" s="3" t="s">
        <v>1340</v>
      </c>
      <c r="L175" s="3" t="s">
        <v>1341</v>
      </c>
      <c r="M175" s="3" t="s">
        <v>1342</v>
      </c>
      <c r="N175" s="3" t="s">
        <v>1481</v>
      </c>
    </row>
    <row r="176" spans="1:14" x14ac:dyDescent="0.45">
      <c r="A176" s="3" t="s">
        <v>443</v>
      </c>
      <c r="B176" s="3" t="s">
        <v>444</v>
      </c>
      <c r="C176" s="3" t="s">
        <v>1344</v>
      </c>
      <c r="D176" s="3" t="s">
        <v>1345</v>
      </c>
      <c r="E176" s="3" t="s">
        <v>1346</v>
      </c>
      <c r="F176" s="79">
        <v>1201</v>
      </c>
      <c r="G176" s="3" t="s">
        <v>1221</v>
      </c>
      <c r="H176" s="3" t="s">
        <v>1463</v>
      </c>
      <c r="I176" s="3"/>
      <c r="J176" s="3" t="s">
        <v>1260</v>
      </c>
      <c r="K176" s="3" t="s">
        <v>1325</v>
      </c>
      <c r="L176" s="3" t="s">
        <v>1326</v>
      </c>
      <c r="M176" s="3" t="s">
        <v>1327</v>
      </c>
      <c r="N176" s="3" t="s">
        <v>1482</v>
      </c>
    </row>
    <row r="177" spans="1:14" x14ac:dyDescent="0.45">
      <c r="A177" s="3" t="s">
        <v>443</v>
      </c>
      <c r="B177" s="3" t="s">
        <v>444</v>
      </c>
      <c r="C177" s="3" t="s">
        <v>1348</v>
      </c>
      <c r="D177" s="3" t="s">
        <v>1255</v>
      </c>
      <c r="E177" s="3" t="s">
        <v>1346</v>
      </c>
      <c r="F177" s="79">
        <v>3350</v>
      </c>
      <c r="G177" s="3" t="s">
        <v>1221</v>
      </c>
      <c r="H177" s="3" t="s">
        <v>1463</v>
      </c>
      <c r="I177" s="3"/>
      <c r="J177" s="3" t="s">
        <v>1260</v>
      </c>
      <c r="K177" s="3" t="s">
        <v>1325</v>
      </c>
      <c r="L177" s="3" t="s">
        <v>1326</v>
      </c>
      <c r="M177" s="3" t="s">
        <v>1327</v>
      </c>
      <c r="N177" s="3" t="s">
        <v>1483</v>
      </c>
    </row>
    <row r="178" spans="1:14" x14ac:dyDescent="0.45">
      <c r="A178" s="3" t="s">
        <v>443</v>
      </c>
      <c r="B178" s="3" t="s">
        <v>444</v>
      </c>
      <c r="C178" s="3" t="s">
        <v>1350</v>
      </c>
      <c r="D178" s="3" t="s">
        <v>1351</v>
      </c>
      <c r="E178" s="3" t="s">
        <v>1352</v>
      </c>
      <c r="F178" s="79">
        <v>1183</v>
      </c>
      <c r="G178" s="3" t="s">
        <v>1221</v>
      </c>
      <c r="H178" s="3" t="s">
        <v>1463</v>
      </c>
      <c r="I178" s="3"/>
      <c r="J178" s="3" t="s">
        <v>1260</v>
      </c>
      <c r="K178" s="3" t="s">
        <v>1333</v>
      </c>
      <c r="L178" s="3" t="s">
        <v>1334</v>
      </c>
      <c r="M178" s="3" t="s">
        <v>1335</v>
      </c>
      <c r="N178" s="3" t="s">
        <v>1484</v>
      </c>
    </row>
    <row r="179" spans="1:14" x14ac:dyDescent="0.45">
      <c r="A179" s="3" t="s">
        <v>443</v>
      </c>
      <c r="B179" s="3" t="s">
        <v>444</v>
      </c>
      <c r="C179" s="3" t="s">
        <v>1354</v>
      </c>
      <c r="D179" s="3" t="s">
        <v>1355</v>
      </c>
      <c r="E179" s="3" t="s">
        <v>1356</v>
      </c>
      <c r="F179" s="79">
        <v>1392</v>
      </c>
      <c r="G179" s="3" t="s">
        <v>1221</v>
      </c>
      <c r="H179" s="3" t="s">
        <v>1463</v>
      </c>
      <c r="I179" s="3"/>
      <c r="J179" s="3" t="s">
        <v>1260</v>
      </c>
      <c r="K179" s="3" t="s">
        <v>1340</v>
      </c>
      <c r="L179" s="3" t="s">
        <v>1341</v>
      </c>
      <c r="M179" s="3" t="s">
        <v>1342</v>
      </c>
      <c r="N179" s="3" t="s">
        <v>1485</v>
      </c>
    </row>
    <row r="180" spans="1:14" x14ac:dyDescent="0.45">
      <c r="A180" s="3" t="s">
        <v>445</v>
      </c>
      <c r="B180" s="3" t="s">
        <v>446</v>
      </c>
      <c r="C180" s="3" t="s">
        <v>1218</v>
      </c>
      <c r="D180" s="3" t="s">
        <v>1219</v>
      </c>
      <c r="E180" s="3" t="s">
        <v>1220</v>
      </c>
      <c r="F180" s="79">
        <v>140</v>
      </c>
      <c r="G180" s="3" t="s">
        <v>1221</v>
      </c>
      <c r="H180" s="3" t="s">
        <v>1486</v>
      </c>
      <c r="I180" s="3"/>
      <c r="J180" s="3" t="s">
        <v>1224</v>
      </c>
      <c r="K180" s="3" t="s">
        <v>1225</v>
      </c>
      <c r="L180" s="3" t="s">
        <v>1226</v>
      </c>
      <c r="M180" s="3" t="s">
        <v>1227</v>
      </c>
      <c r="N180" s="3" t="s">
        <v>1487</v>
      </c>
    </row>
    <row r="181" spans="1:14" x14ac:dyDescent="0.45">
      <c r="A181" s="3" t="s">
        <v>445</v>
      </c>
      <c r="B181" s="3" t="s">
        <v>446</v>
      </c>
      <c r="C181" s="3" t="s">
        <v>1229</v>
      </c>
      <c r="D181" s="3" t="s">
        <v>1230</v>
      </c>
      <c r="E181" s="3" t="s">
        <v>1231</v>
      </c>
      <c r="F181" s="79">
        <v>314</v>
      </c>
      <c r="G181" s="3" t="s">
        <v>1221</v>
      </c>
      <c r="H181" s="3" t="s">
        <v>1486</v>
      </c>
      <c r="I181" s="3"/>
      <c r="J181" s="3" t="s">
        <v>1224</v>
      </c>
      <c r="K181" s="3" t="s">
        <v>1232</v>
      </c>
      <c r="L181" s="3" t="s">
        <v>1233</v>
      </c>
      <c r="M181" s="3" t="s">
        <v>1234</v>
      </c>
      <c r="N181" s="3" t="s">
        <v>1488</v>
      </c>
    </row>
    <row r="182" spans="1:14" x14ac:dyDescent="0.45">
      <c r="A182" s="3" t="s">
        <v>445</v>
      </c>
      <c r="B182" s="3" t="s">
        <v>446</v>
      </c>
      <c r="C182" s="3" t="s">
        <v>1236</v>
      </c>
      <c r="D182" s="3" t="s">
        <v>1237</v>
      </c>
      <c r="E182" s="3" t="s">
        <v>1238</v>
      </c>
      <c r="F182" s="79">
        <v>511</v>
      </c>
      <c r="G182" s="3" t="s">
        <v>1221</v>
      </c>
      <c r="H182" s="3" t="s">
        <v>1486</v>
      </c>
      <c r="I182" s="3"/>
      <c r="J182" s="3" t="s">
        <v>1224</v>
      </c>
      <c r="K182" s="3" t="s">
        <v>1239</v>
      </c>
      <c r="L182" s="3" t="s">
        <v>1240</v>
      </c>
      <c r="M182" s="3" t="s">
        <v>1241</v>
      </c>
      <c r="N182" s="3" t="s">
        <v>1489</v>
      </c>
    </row>
    <row r="183" spans="1:14" x14ac:dyDescent="0.45">
      <c r="A183" s="3" t="s">
        <v>445</v>
      </c>
      <c r="B183" s="3" t="s">
        <v>446</v>
      </c>
      <c r="C183" s="3" t="s">
        <v>1243</v>
      </c>
      <c r="D183" s="3" t="s">
        <v>1244</v>
      </c>
      <c r="E183" s="3" t="s">
        <v>1245</v>
      </c>
      <c r="F183" s="79">
        <v>834</v>
      </c>
      <c r="G183" s="3" t="s">
        <v>1221</v>
      </c>
      <c r="H183" s="3" t="s">
        <v>1486</v>
      </c>
      <c r="I183" s="3"/>
      <c r="J183" s="3" t="s">
        <v>1224</v>
      </c>
      <c r="K183" s="3" t="s">
        <v>1246</v>
      </c>
      <c r="L183" s="3" t="s">
        <v>1247</v>
      </c>
      <c r="M183" s="3" t="s">
        <v>1248</v>
      </c>
      <c r="N183" s="3" t="s">
        <v>1490</v>
      </c>
    </row>
    <row r="184" spans="1:14" x14ac:dyDescent="0.45">
      <c r="A184" s="3" t="s">
        <v>445</v>
      </c>
      <c r="B184" s="3" t="s">
        <v>446</v>
      </c>
      <c r="C184" s="3" t="s">
        <v>1250</v>
      </c>
      <c r="D184" s="3" t="s">
        <v>1251</v>
      </c>
      <c r="E184" s="3" t="s">
        <v>1252</v>
      </c>
      <c r="F184" s="79">
        <v>1190</v>
      </c>
      <c r="G184" s="3" t="s">
        <v>1221</v>
      </c>
      <c r="H184" s="3" t="s">
        <v>1486</v>
      </c>
      <c r="I184" s="3"/>
      <c r="J184" s="3" t="s">
        <v>1224</v>
      </c>
      <c r="K184" s="3" t="s">
        <v>1246</v>
      </c>
      <c r="L184" s="3" t="s">
        <v>1247</v>
      </c>
      <c r="M184" s="3" t="s">
        <v>1248</v>
      </c>
      <c r="N184" s="3" t="s">
        <v>1491</v>
      </c>
    </row>
    <row r="185" spans="1:14" x14ac:dyDescent="0.45">
      <c r="A185" s="3" t="s">
        <v>445</v>
      </c>
      <c r="B185" s="3" t="s">
        <v>446</v>
      </c>
      <c r="C185" s="3" t="s">
        <v>1254</v>
      </c>
      <c r="D185" s="3" t="s">
        <v>1255</v>
      </c>
      <c r="E185" s="3" t="s">
        <v>1256</v>
      </c>
      <c r="F185" s="79">
        <v>1593</v>
      </c>
      <c r="G185" s="3" t="s">
        <v>1221</v>
      </c>
      <c r="H185" s="3" t="s">
        <v>1486</v>
      </c>
      <c r="I185" s="3"/>
      <c r="J185" s="3" t="s">
        <v>1224</v>
      </c>
      <c r="K185" s="3" t="s">
        <v>1246</v>
      </c>
      <c r="L185" s="3" t="s">
        <v>1247</v>
      </c>
      <c r="M185" s="3" t="s">
        <v>1248</v>
      </c>
      <c r="N185" s="3" t="s">
        <v>1492</v>
      </c>
    </row>
    <row r="186" spans="1:14" x14ac:dyDescent="0.45">
      <c r="A186" s="3" t="s">
        <v>445</v>
      </c>
      <c r="B186" s="3" t="s">
        <v>446</v>
      </c>
      <c r="C186" s="3" t="s">
        <v>1258</v>
      </c>
      <c r="D186" s="3" t="s">
        <v>1230</v>
      </c>
      <c r="E186" s="3" t="s">
        <v>1259</v>
      </c>
      <c r="F186" s="79">
        <v>241</v>
      </c>
      <c r="G186" s="3" t="s">
        <v>1221</v>
      </c>
      <c r="H186" s="3" t="s">
        <v>1486</v>
      </c>
      <c r="I186" s="3"/>
      <c r="J186" s="3" t="s">
        <v>1260</v>
      </c>
      <c r="K186" s="3" t="s">
        <v>1261</v>
      </c>
      <c r="L186" s="3" t="s">
        <v>1262</v>
      </c>
      <c r="M186" s="3" t="s">
        <v>1263</v>
      </c>
      <c r="N186" s="3" t="s">
        <v>1493</v>
      </c>
    </row>
    <row r="187" spans="1:14" x14ac:dyDescent="0.45">
      <c r="A187" s="3" t="s">
        <v>445</v>
      </c>
      <c r="B187" s="3" t="s">
        <v>446</v>
      </c>
      <c r="C187" s="3" t="s">
        <v>1265</v>
      </c>
      <c r="D187" s="3" t="s">
        <v>1237</v>
      </c>
      <c r="E187" s="3" t="s">
        <v>1266</v>
      </c>
      <c r="F187" s="79">
        <v>89</v>
      </c>
      <c r="G187" s="3" t="s">
        <v>1221</v>
      </c>
      <c r="H187" s="3" t="s">
        <v>1486</v>
      </c>
      <c r="I187" s="3"/>
      <c r="J187" s="3" t="s">
        <v>1260</v>
      </c>
      <c r="K187" s="3" t="s">
        <v>1267</v>
      </c>
      <c r="L187" s="3" t="s">
        <v>1268</v>
      </c>
      <c r="M187" s="3" t="s">
        <v>1269</v>
      </c>
      <c r="N187" s="3" t="s">
        <v>1494</v>
      </c>
    </row>
    <row r="188" spans="1:14" x14ac:dyDescent="0.45">
      <c r="A188" s="3" t="s">
        <v>445</v>
      </c>
      <c r="B188" s="3" t="s">
        <v>446</v>
      </c>
      <c r="C188" s="3" t="s">
        <v>1271</v>
      </c>
      <c r="D188" s="3" t="s">
        <v>1272</v>
      </c>
      <c r="E188" s="3" t="s">
        <v>1273</v>
      </c>
      <c r="F188" s="79">
        <v>113</v>
      </c>
      <c r="G188" s="3" t="s">
        <v>1221</v>
      </c>
      <c r="H188" s="3" t="s">
        <v>1486</v>
      </c>
      <c r="I188" s="3"/>
      <c r="J188" s="3" t="s">
        <v>1260</v>
      </c>
      <c r="K188" s="3" t="s">
        <v>1274</v>
      </c>
      <c r="L188" s="3" t="s">
        <v>1275</v>
      </c>
      <c r="M188" s="3" t="s">
        <v>1276</v>
      </c>
      <c r="N188" s="3" t="s">
        <v>1495</v>
      </c>
    </row>
    <row r="189" spans="1:14" x14ac:dyDescent="0.45">
      <c r="A189" s="3" t="s">
        <v>445</v>
      </c>
      <c r="B189" s="3" t="s">
        <v>446</v>
      </c>
      <c r="C189" s="3" t="s">
        <v>1278</v>
      </c>
      <c r="D189" s="3" t="s">
        <v>1279</v>
      </c>
      <c r="E189" s="3" t="s">
        <v>1280</v>
      </c>
      <c r="F189" s="79">
        <v>151</v>
      </c>
      <c r="G189" s="3" t="s">
        <v>1221</v>
      </c>
      <c r="H189" s="3" t="s">
        <v>1486</v>
      </c>
      <c r="I189" s="3"/>
      <c r="J189" s="3" t="s">
        <v>1260</v>
      </c>
      <c r="K189" s="3" t="s">
        <v>1281</v>
      </c>
      <c r="L189" s="3" t="s">
        <v>1282</v>
      </c>
      <c r="M189" s="3" t="s">
        <v>1283</v>
      </c>
      <c r="N189" s="3" t="s">
        <v>1314</v>
      </c>
    </row>
    <row r="190" spans="1:14" x14ac:dyDescent="0.45">
      <c r="A190" s="3" t="s">
        <v>445</v>
      </c>
      <c r="B190" s="3" t="s">
        <v>446</v>
      </c>
      <c r="C190" s="3" t="s">
        <v>1285</v>
      </c>
      <c r="D190" s="3" t="s">
        <v>1237</v>
      </c>
      <c r="E190" s="3" t="s">
        <v>1280</v>
      </c>
      <c r="F190" s="79">
        <v>353</v>
      </c>
      <c r="G190" s="3" t="s">
        <v>1221</v>
      </c>
      <c r="H190" s="3" t="s">
        <v>1486</v>
      </c>
      <c r="I190" s="3"/>
      <c r="J190" s="3" t="s">
        <v>1260</v>
      </c>
      <c r="K190" s="3" t="s">
        <v>1281</v>
      </c>
      <c r="L190" s="3" t="s">
        <v>1282</v>
      </c>
      <c r="M190" s="3" t="s">
        <v>1283</v>
      </c>
      <c r="N190" s="3" t="s">
        <v>1496</v>
      </c>
    </row>
    <row r="191" spans="1:14" x14ac:dyDescent="0.45">
      <c r="A191" s="3" t="s">
        <v>445</v>
      </c>
      <c r="B191" s="3" t="s">
        <v>446</v>
      </c>
      <c r="C191" s="3" t="s">
        <v>1287</v>
      </c>
      <c r="D191" s="3" t="s">
        <v>1244</v>
      </c>
      <c r="E191" s="3" t="s">
        <v>1288</v>
      </c>
      <c r="F191" s="79">
        <v>174</v>
      </c>
      <c r="G191" s="3" t="s">
        <v>1221</v>
      </c>
      <c r="H191" s="3" t="s">
        <v>1486</v>
      </c>
      <c r="I191" s="3"/>
      <c r="J191" s="3" t="s">
        <v>1260</v>
      </c>
      <c r="K191" s="3" t="s">
        <v>1289</v>
      </c>
      <c r="L191" s="3" t="s">
        <v>1290</v>
      </c>
      <c r="M191" s="3" t="s">
        <v>1291</v>
      </c>
      <c r="N191" s="3" t="s">
        <v>1497</v>
      </c>
    </row>
    <row r="192" spans="1:14" x14ac:dyDescent="0.45">
      <c r="A192" s="3" t="s">
        <v>445</v>
      </c>
      <c r="B192" s="3" t="s">
        <v>446</v>
      </c>
      <c r="C192" s="3" t="s">
        <v>1293</v>
      </c>
      <c r="D192" s="3" t="s">
        <v>1294</v>
      </c>
      <c r="E192" s="3" t="s">
        <v>1295</v>
      </c>
      <c r="F192" s="79">
        <v>208</v>
      </c>
      <c r="G192" s="3" t="s">
        <v>1221</v>
      </c>
      <c r="H192" s="3" t="s">
        <v>1486</v>
      </c>
      <c r="I192" s="3"/>
      <c r="J192" s="3" t="s">
        <v>1260</v>
      </c>
      <c r="K192" s="3" t="s">
        <v>1296</v>
      </c>
      <c r="L192" s="3" t="s">
        <v>1297</v>
      </c>
      <c r="M192" s="3" t="s">
        <v>1298</v>
      </c>
      <c r="N192" s="3" t="s">
        <v>1498</v>
      </c>
    </row>
    <row r="193" spans="1:14" x14ac:dyDescent="0.45">
      <c r="A193" s="3" t="s">
        <v>445</v>
      </c>
      <c r="B193" s="3" t="s">
        <v>446</v>
      </c>
      <c r="C193" s="3" t="s">
        <v>1300</v>
      </c>
      <c r="D193" s="3" t="s">
        <v>1301</v>
      </c>
      <c r="E193" s="3" t="s">
        <v>1302</v>
      </c>
      <c r="F193" s="79">
        <v>226</v>
      </c>
      <c r="G193" s="3" t="s">
        <v>1221</v>
      </c>
      <c r="H193" s="3" t="s">
        <v>1486</v>
      </c>
      <c r="I193" s="3"/>
      <c r="J193" s="3" t="s">
        <v>1260</v>
      </c>
      <c r="K193" s="3" t="s">
        <v>1303</v>
      </c>
      <c r="L193" s="3" t="s">
        <v>1304</v>
      </c>
      <c r="M193" s="3" t="s">
        <v>1305</v>
      </c>
      <c r="N193" s="3" t="s">
        <v>1499</v>
      </c>
    </row>
    <row r="194" spans="1:14" x14ac:dyDescent="0.45">
      <c r="A194" s="3" t="s">
        <v>445</v>
      </c>
      <c r="B194" s="3" t="s">
        <v>446</v>
      </c>
      <c r="C194" s="3" t="s">
        <v>1307</v>
      </c>
      <c r="D194" s="3" t="s">
        <v>1244</v>
      </c>
      <c r="E194" s="3" t="s">
        <v>1302</v>
      </c>
      <c r="F194" s="79">
        <v>608</v>
      </c>
      <c r="G194" s="3" t="s">
        <v>1221</v>
      </c>
      <c r="H194" s="3" t="s">
        <v>1486</v>
      </c>
      <c r="I194" s="3"/>
      <c r="J194" s="3" t="s">
        <v>1260</v>
      </c>
      <c r="K194" s="3" t="s">
        <v>1303</v>
      </c>
      <c r="L194" s="3" t="s">
        <v>1304</v>
      </c>
      <c r="M194" s="3" t="s">
        <v>1305</v>
      </c>
      <c r="N194" s="3" t="s">
        <v>1500</v>
      </c>
    </row>
    <row r="195" spans="1:14" x14ac:dyDescent="0.45">
      <c r="A195" s="3" t="s">
        <v>445</v>
      </c>
      <c r="B195" s="3" t="s">
        <v>446</v>
      </c>
      <c r="C195" s="3" t="s">
        <v>1309</v>
      </c>
      <c r="D195" s="3" t="s">
        <v>1251</v>
      </c>
      <c r="E195" s="3" t="s">
        <v>1310</v>
      </c>
      <c r="F195" s="79">
        <v>249</v>
      </c>
      <c r="G195" s="3" t="s">
        <v>1221</v>
      </c>
      <c r="H195" s="3" t="s">
        <v>1486</v>
      </c>
      <c r="I195" s="3"/>
      <c r="J195" s="3" t="s">
        <v>1260</v>
      </c>
      <c r="K195" s="3" t="s">
        <v>1311</v>
      </c>
      <c r="L195" s="3" t="s">
        <v>1312</v>
      </c>
      <c r="M195" s="3" t="s">
        <v>1313</v>
      </c>
      <c r="N195" s="3" t="s">
        <v>1501</v>
      </c>
    </row>
    <row r="196" spans="1:14" x14ac:dyDescent="0.45">
      <c r="A196" s="3" t="s">
        <v>445</v>
      </c>
      <c r="B196" s="3" t="s">
        <v>446</v>
      </c>
      <c r="C196" s="3" t="s">
        <v>1315</v>
      </c>
      <c r="D196" s="3" t="s">
        <v>1316</v>
      </c>
      <c r="E196" s="3" t="s">
        <v>1317</v>
      </c>
      <c r="F196" s="79">
        <v>286</v>
      </c>
      <c r="G196" s="3" t="s">
        <v>1221</v>
      </c>
      <c r="H196" s="3" t="s">
        <v>1486</v>
      </c>
      <c r="I196" s="3"/>
      <c r="J196" s="3" t="s">
        <v>1260</v>
      </c>
      <c r="K196" s="3" t="s">
        <v>1318</v>
      </c>
      <c r="L196" s="3" t="s">
        <v>1319</v>
      </c>
      <c r="M196" s="3" t="s">
        <v>1320</v>
      </c>
      <c r="N196" s="3" t="s">
        <v>1502</v>
      </c>
    </row>
    <row r="197" spans="1:14" x14ac:dyDescent="0.45">
      <c r="A197" s="3" t="s">
        <v>445</v>
      </c>
      <c r="B197" s="3" t="s">
        <v>446</v>
      </c>
      <c r="C197" s="3" t="s">
        <v>1322</v>
      </c>
      <c r="D197" s="3" t="s">
        <v>1323</v>
      </c>
      <c r="E197" s="3" t="s">
        <v>1324</v>
      </c>
      <c r="F197" s="79">
        <v>322</v>
      </c>
      <c r="G197" s="3" t="s">
        <v>1221</v>
      </c>
      <c r="H197" s="3" t="s">
        <v>1486</v>
      </c>
      <c r="I197" s="3"/>
      <c r="J197" s="3" t="s">
        <v>1260</v>
      </c>
      <c r="K197" s="3" t="s">
        <v>1325</v>
      </c>
      <c r="L197" s="3" t="s">
        <v>1326</v>
      </c>
      <c r="M197" s="3" t="s">
        <v>1327</v>
      </c>
      <c r="N197" s="3" t="s">
        <v>1503</v>
      </c>
    </row>
    <row r="198" spans="1:14" x14ac:dyDescent="0.45">
      <c r="A198" s="3" t="s">
        <v>445</v>
      </c>
      <c r="B198" s="3" t="s">
        <v>446</v>
      </c>
      <c r="C198" s="3" t="s">
        <v>1329</v>
      </c>
      <c r="D198" s="3" t="s">
        <v>1251</v>
      </c>
      <c r="E198" s="3" t="s">
        <v>1324</v>
      </c>
      <c r="F198" s="79">
        <v>857</v>
      </c>
      <c r="G198" s="3" t="s">
        <v>1221</v>
      </c>
      <c r="H198" s="3" t="s">
        <v>1486</v>
      </c>
      <c r="I198" s="3"/>
      <c r="J198" s="3" t="s">
        <v>1260</v>
      </c>
      <c r="K198" s="3" t="s">
        <v>1325</v>
      </c>
      <c r="L198" s="3" t="s">
        <v>1326</v>
      </c>
      <c r="M198" s="3" t="s">
        <v>1327</v>
      </c>
      <c r="N198" s="3" t="s">
        <v>1504</v>
      </c>
    </row>
    <row r="199" spans="1:14" x14ac:dyDescent="0.45">
      <c r="A199" s="3" t="s">
        <v>445</v>
      </c>
      <c r="B199" s="3" t="s">
        <v>446</v>
      </c>
      <c r="C199" s="3" t="s">
        <v>1331</v>
      </c>
      <c r="D199" s="3" t="s">
        <v>1255</v>
      </c>
      <c r="E199" s="3" t="s">
        <v>1332</v>
      </c>
      <c r="F199" s="79">
        <v>346</v>
      </c>
      <c r="G199" s="3" t="s">
        <v>1221</v>
      </c>
      <c r="H199" s="3" t="s">
        <v>1486</v>
      </c>
      <c r="I199" s="3"/>
      <c r="J199" s="3" t="s">
        <v>1260</v>
      </c>
      <c r="K199" s="3" t="s">
        <v>1333</v>
      </c>
      <c r="L199" s="3" t="s">
        <v>1334</v>
      </c>
      <c r="M199" s="3" t="s">
        <v>1335</v>
      </c>
      <c r="N199" s="3" t="s">
        <v>1505</v>
      </c>
    </row>
    <row r="200" spans="1:14" x14ac:dyDescent="0.45">
      <c r="A200" s="3" t="s">
        <v>445</v>
      </c>
      <c r="B200" s="3" t="s">
        <v>446</v>
      </c>
      <c r="C200" s="3" t="s">
        <v>1337</v>
      </c>
      <c r="D200" s="3" t="s">
        <v>1338</v>
      </c>
      <c r="E200" s="3" t="s">
        <v>1339</v>
      </c>
      <c r="F200" s="79">
        <v>392</v>
      </c>
      <c r="G200" s="3" t="s">
        <v>1221</v>
      </c>
      <c r="H200" s="3" t="s">
        <v>1486</v>
      </c>
      <c r="I200" s="3"/>
      <c r="J200" s="3" t="s">
        <v>1260</v>
      </c>
      <c r="K200" s="3" t="s">
        <v>1340</v>
      </c>
      <c r="L200" s="3" t="s">
        <v>1341</v>
      </c>
      <c r="M200" s="3" t="s">
        <v>1342</v>
      </c>
      <c r="N200" s="3" t="s">
        <v>1506</v>
      </c>
    </row>
    <row r="201" spans="1:14" x14ac:dyDescent="0.45">
      <c r="A201" s="3" t="s">
        <v>445</v>
      </c>
      <c r="B201" s="3" t="s">
        <v>446</v>
      </c>
      <c r="C201" s="3" t="s">
        <v>1344</v>
      </c>
      <c r="D201" s="3" t="s">
        <v>1345</v>
      </c>
      <c r="E201" s="3" t="s">
        <v>1346</v>
      </c>
      <c r="F201" s="79">
        <v>432</v>
      </c>
      <c r="G201" s="3" t="s">
        <v>1221</v>
      </c>
      <c r="H201" s="3" t="s">
        <v>1486</v>
      </c>
      <c r="I201" s="3"/>
      <c r="J201" s="3" t="s">
        <v>1260</v>
      </c>
      <c r="K201" s="3" t="s">
        <v>1325</v>
      </c>
      <c r="L201" s="3" t="s">
        <v>1326</v>
      </c>
      <c r="M201" s="3" t="s">
        <v>1327</v>
      </c>
      <c r="N201" s="3" t="s">
        <v>1507</v>
      </c>
    </row>
    <row r="202" spans="1:14" x14ac:dyDescent="0.45">
      <c r="A202" s="3" t="s">
        <v>445</v>
      </c>
      <c r="B202" s="3" t="s">
        <v>446</v>
      </c>
      <c r="C202" s="3" t="s">
        <v>1348</v>
      </c>
      <c r="D202" s="3" t="s">
        <v>1255</v>
      </c>
      <c r="E202" s="3" t="s">
        <v>1346</v>
      </c>
      <c r="F202" s="79">
        <v>1170</v>
      </c>
      <c r="G202" s="3" t="s">
        <v>1221</v>
      </c>
      <c r="H202" s="3" t="s">
        <v>1486</v>
      </c>
      <c r="I202" s="3"/>
      <c r="J202" s="3" t="s">
        <v>1260</v>
      </c>
      <c r="K202" s="3" t="s">
        <v>1325</v>
      </c>
      <c r="L202" s="3" t="s">
        <v>1326</v>
      </c>
      <c r="M202" s="3" t="s">
        <v>1327</v>
      </c>
      <c r="N202" s="3" t="s">
        <v>1508</v>
      </c>
    </row>
    <row r="203" spans="1:14" x14ac:dyDescent="0.45">
      <c r="A203" s="3" t="s">
        <v>445</v>
      </c>
      <c r="B203" s="3" t="s">
        <v>446</v>
      </c>
      <c r="C203" s="3" t="s">
        <v>1350</v>
      </c>
      <c r="D203" s="3" t="s">
        <v>1351</v>
      </c>
      <c r="E203" s="3" t="s">
        <v>1352</v>
      </c>
      <c r="F203" s="79">
        <v>447</v>
      </c>
      <c r="G203" s="3" t="s">
        <v>1221</v>
      </c>
      <c r="H203" s="3" t="s">
        <v>1486</v>
      </c>
      <c r="I203" s="3"/>
      <c r="J203" s="3" t="s">
        <v>1260</v>
      </c>
      <c r="K203" s="3" t="s">
        <v>1333</v>
      </c>
      <c r="L203" s="3" t="s">
        <v>1334</v>
      </c>
      <c r="M203" s="3" t="s">
        <v>1335</v>
      </c>
      <c r="N203" s="3" t="s">
        <v>1509</v>
      </c>
    </row>
    <row r="204" spans="1:14" x14ac:dyDescent="0.45">
      <c r="A204" s="3" t="s">
        <v>445</v>
      </c>
      <c r="B204" s="3" t="s">
        <v>446</v>
      </c>
      <c r="C204" s="3" t="s">
        <v>1354</v>
      </c>
      <c r="D204" s="3" t="s">
        <v>1355</v>
      </c>
      <c r="E204" s="3" t="s">
        <v>1356</v>
      </c>
      <c r="F204" s="79">
        <v>516</v>
      </c>
      <c r="G204" s="3" t="s">
        <v>1221</v>
      </c>
      <c r="H204" s="3" t="s">
        <v>1486</v>
      </c>
      <c r="I204" s="3"/>
      <c r="J204" s="3" t="s">
        <v>1260</v>
      </c>
      <c r="K204" s="3" t="s">
        <v>1340</v>
      </c>
      <c r="L204" s="3" t="s">
        <v>1341</v>
      </c>
      <c r="M204" s="3" t="s">
        <v>1342</v>
      </c>
      <c r="N204" s="3" t="s">
        <v>1510</v>
      </c>
    </row>
    <row r="205" spans="1:14" x14ac:dyDescent="0.45">
      <c r="A205" s="3" t="s">
        <v>450</v>
      </c>
      <c r="B205" s="3" t="s">
        <v>451</v>
      </c>
      <c r="C205" s="3" t="s">
        <v>1218</v>
      </c>
      <c r="D205" s="3" t="s">
        <v>1219</v>
      </c>
      <c r="E205" s="3" t="s">
        <v>1220</v>
      </c>
      <c r="F205" s="79">
        <v>138</v>
      </c>
      <c r="G205" s="3" t="s">
        <v>1221</v>
      </c>
      <c r="H205" s="3" t="s">
        <v>1511</v>
      </c>
      <c r="I205" s="3"/>
      <c r="J205" s="3" t="s">
        <v>1224</v>
      </c>
      <c r="K205" s="3" t="s">
        <v>1225</v>
      </c>
      <c r="L205" s="3" t="s">
        <v>1226</v>
      </c>
      <c r="M205" s="3" t="s">
        <v>1227</v>
      </c>
      <c r="N205" s="3" t="s">
        <v>1512</v>
      </c>
    </row>
    <row r="206" spans="1:14" x14ac:dyDescent="0.45">
      <c r="A206" s="3" t="s">
        <v>450</v>
      </c>
      <c r="B206" s="3" t="s">
        <v>451</v>
      </c>
      <c r="C206" s="3" t="s">
        <v>1229</v>
      </c>
      <c r="D206" s="3" t="s">
        <v>1230</v>
      </c>
      <c r="E206" s="3" t="s">
        <v>1231</v>
      </c>
      <c r="F206" s="79">
        <v>190</v>
      </c>
      <c r="G206" s="3" t="s">
        <v>1221</v>
      </c>
      <c r="H206" s="3" t="s">
        <v>1511</v>
      </c>
      <c r="I206" s="3"/>
      <c r="J206" s="3" t="s">
        <v>1224</v>
      </c>
      <c r="K206" s="3" t="s">
        <v>1232</v>
      </c>
      <c r="L206" s="3" t="s">
        <v>1233</v>
      </c>
      <c r="M206" s="3" t="s">
        <v>1234</v>
      </c>
      <c r="N206" s="3" t="s">
        <v>1513</v>
      </c>
    </row>
    <row r="207" spans="1:14" x14ac:dyDescent="0.45">
      <c r="A207" s="3" t="s">
        <v>450</v>
      </c>
      <c r="B207" s="3" t="s">
        <v>451</v>
      </c>
      <c r="C207" s="3" t="s">
        <v>1236</v>
      </c>
      <c r="D207" s="3" t="s">
        <v>1237</v>
      </c>
      <c r="E207" s="3" t="s">
        <v>1238</v>
      </c>
      <c r="F207" s="79">
        <v>319</v>
      </c>
      <c r="G207" s="3" t="s">
        <v>1221</v>
      </c>
      <c r="H207" s="3" t="s">
        <v>1511</v>
      </c>
      <c r="I207" s="3"/>
      <c r="J207" s="3" t="s">
        <v>1224</v>
      </c>
      <c r="K207" s="3" t="s">
        <v>1239</v>
      </c>
      <c r="L207" s="3" t="s">
        <v>1240</v>
      </c>
      <c r="M207" s="3" t="s">
        <v>1241</v>
      </c>
      <c r="N207" s="3" t="s">
        <v>1514</v>
      </c>
    </row>
    <row r="208" spans="1:14" x14ac:dyDescent="0.45">
      <c r="A208" s="3" t="s">
        <v>450</v>
      </c>
      <c r="B208" s="3" t="s">
        <v>451</v>
      </c>
      <c r="C208" s="3" t="s">
        <v>1243</v>
      </c>
      <c r="D208" s="3" t="s">
        <v>1244</v>
      </c>
      <c r="E208" s="3" t="s">
        <v>1245</v>
      </c>
      <c r="F208" s="79">
        <v>401</v>
      </c>
      <c r="G208" s="3" t="s">
        <v>1221</v>
      </c>
      <c r="H208" s="3" t="s">
        <v>1511</v>
      </c>
      <c r="I208" s="3"/>
      <c r="J208" s="3" t="s">
        <v>1224</v>
      </c>
      <c r="K208" s="3" t="s">
        <v>1246</v>
      </c>
      <c r="L208" s="3" t="s">
        <v>1247</v>
      </c>
      <c r="M208" s="3" t="s">
        <v>1248</v>
      </c>
      <c r="N208" s="3" t="s">
        <v>1515</v>
      </c>
    </row>
    <row r="209" spans="1:14" x14ac:dyDescent="0.45">
      <c r="A209" s="3" t="s">
        <v>450</v>
      </c>
      <c r="B209" s="3" t="s">
        <v>451</v>
      </c>
      <c r="C209" s="3" t="s">
        <v>1250</v>
      </c>
      <c r="D209" s="3" t="s">
        <v>1251</v>
      </c>
      <c r="E209" s="3" t="s">
        <v>1252</v>
      </c>
      <c r="F209" s="79">
        <v>470</v>
      </c>
      <c r="G209" s="3" t="s">
        <v>1221</v>
      </c>
      <c r="H209" s="3" t="s">
        <v>1511</v>
      </c>
      <c r="I209" s="3"/>
      <c r="J209" s="3" t="s">
        <v>1224</v>
      </c>
      <c r="K209" s="3" t="s">
        <v>1246</v>
      </c>
      <c r="L209" s="3" t="s">
        <v>1247</v>
      </c>
      <c r="M209" s="3" t="s">
        <v>1248</v>
      </c>
      <c r="N209" s="3" t="s">
        <v>1516</v>
      </c>
    </row>
    <row r="210" spans="1:14" x14ac:dyDescent="0.45">
      <c r="A210" s="3" t="s">
        <v>450</v>
      </c>
      <c r="B210" s="3" t="s">
        <v>451</v>
      </c>
      <c r="C210" s="3" t="s">
        <v>1254</v>
      </c>
      <c r="D210" s="3" t="s">
        <v>1255</v>
      </c>
      <c r="E210" s="3" t="s">
        <v>1256</v>
      </c>
      <c r="F210" s="79">
        <v>571</v>
      </c>
      <c r="G210" s="3" t="s">
        <v>1221</v>
      </c>
      <c r="H210" s="3" t="s">
        <v>1511</v>
      </c>
      <c r="I210" s="3"/>
      <c r="J210" s="3" t="s">
        <v>1224</v>
      </c>
      <c r="K210" s="3" t="s">
        <v>1246</v>
      </c>
      <c r="L210" s="3" t="s">
        <v>1247</v>
      </c>
      <c r="M210" s="3" t="s">
        <v>1248</v>
      </c>
      <c r="N210" s="3" t="s">
        <v>1517</v>
      </c>
    </row>
    <row r="211" spans="1:14" x14ac:dyDescent="0.45">
      <c r="A211" s="3" t="s">
        <v>450</v>
      </c>
      <c r="B211" s="3" t="s">
        <v>451</v>
      </c>
      <c r="C211" s="3" t="s">
        <v>1258</v>
      </c>
      <c r="D211" s="3" t="s">
        <v>1230</v>
      </c>
      <c r="E211" s="3" t="s">
        <v>1259</v>
      </c>
      <c r="F211" s="79">
        <v>130</v>
      </c>
      <c r="G211" s="3" t="s">
        <v>1221</v>
      </c>
      <c r="H211" s="3" t="s">
        <v>1511</v>
      </c>
      <c r="I211" s="3"/>
      <c r="J211" s="3" t="s">
        <v>1260</v>
      </c>
      <c r="K211" s="3" t="s">
        <v>1261</v>
      </c>
      <c r="L211" s="3" t="s">
        <v>1262</v>
      </c>
      <c r="M211" s="3" t="s">
        <v>1263</v>
      </c>
      <c r="N211" s="3" t="s">
        <v>1518</v>
      </c>
    </row>
    <row r="212" spans="1:14" x14ac:dyDescent="0.45">
      <c r="A212" s="3" t="s">
        <v>450</v>
      </c>
      <c r="B212" s="3" t="s">
        <v>451</v>
      </c>
      <c r="C212" s="3" t="s">
        <v>1265</v>
      </c>
      <c r="D212" s="3" t="s">
        <v>1237</v>
      </c>
      <c r="E212" s="3" t="s">
        <v>1266</v>
      </c>
      <c r="F212" s="79">
        <v>71</v>
      </c>
      <c r="G212" s="3" t="s">
        <v>1221</v>
      </c>
      <c r="H212" s="3" t="s">
        <v>1511</v>
      </c>
      <c r="I212" s="3"/>
      <c r="J212" s="3" t="s">
        <v>1260</v>
      </c>
      <c r="K212" s="3" t="s">
        <v>1267</v>
      </c>
      <c r="L212" s="3" t="s">
        <v>1268</v>
      </c>
      <c r="M212" s="3" t="s">
        <v>1269</v>
      </c>
      <c r="N212" s="3" t="s">
        <v>1519</v>
      </c>
    </row>
    <row r="213" spans="1:14" x14ac:dyDescent="0.45">
      <c r="A213" s="3" t="s">
        <v>450</v>
      </c>
      <c r="B213" s="3" t="s">
        <v>451</v>
      </c>
      <c r="C213" s="3" t="s">
        <v>1271</v>
      </c>
      <c r="D213" s="3" t="s">
        <v>1272</v>
      </c>
      <c r="E213" s="3" t="s">
        <v>1273</v>
      </c>
      <c r="F213" s="79">
        <v>77</v>
      </c>
      <c r="G213" s="3" t="s">
        <v>1221</v>
      </c>
      <c r="H213" s="3" t="s">
        <v>1511</v>
      </c>
      <c r="I213" s="3"/>
      <c r="J213" s="3" t="s">
        <v>1260</v>
      </c>
      <c r="K213" s="3" t="s">
        <v>1274</v>
      </c>
      <c r="L213" s="3" t="s">
        <v>1275</v>
      </c>
      <c r="M213" s="3" t="s">
        <v>1276</v>
      </c>
      <c r="N213" s="3" t="s">
        <v>1520</v>
      </c>
    </row>
    <row r="214" spans="1:14" x14ac:dyDescent="0.45">
      <c r="A214" s="3" t="s">
        <v>450</v>
      </c>
      <c r="B214" s="3" t="s">
        <v>451</v>
      </c>
      <c r="C214" s="3" t="s">
        <v>1278</v>
      </c>
      <c r="D214" s="3" t="s">
        <v>1279</v>
      </c>
      <c r="E214" s="3" t="s">
        <v>1280</v>
      </c>
      <c r="F214" s="79">
        <v>84</v>
      </c>
      <c r="G214" s="3" t="s">
        <v>1221</v>
      </c>
      <c r="H214" s="3" t="s">
        <v>1511</v>
      </c>
      <c r="I214" s="3"/>
      <c r="J214" s="3" t="s">
        <v>1260</v>
      </c>
      <c r="K214" s="3" t="s">
        <v>1281</v>
      </c>
      <c r="L214" s="3" t="s">
        <v>1282</v>
      </c>
      <c r="M214" s="3" t="s">
        <v>1283</v>
      </c>
      <c r="N214" s="3" t="s">
        <v>1521</v>
      </c>
    </row>
    <row r="215" spans="1:14" x14ac:dyDescent="0.45">
      <c r="A215" s="3" t="s">
        <v>450</v>
      </c>
      <c r="B215" s="3" t="s">
        <v>451</v>
      </c>
      <c r="C215" s="3" t="s">
        <v>1285</v>
      </c>
      <c r="D215" s="3" t="s">
        <v>1237</v>
      </c>
      <c r="E215" s="3" t="s">
        <v>1280</v>
      </c>
      <c r="F215" s="79">
        <v>232</v>
      </c>
      <c r="G215" s="3" t="s">
        <v>1221</v>
      </c>
      <c r="H215" s="3" t="s">
        <v>1511</v>
      </c>
      <c r="I215" s="3"/>
      <c r="J215" s="3" t="s">
        <v>1260</v>
      </c>
      <c r="K215" s="3" t="s">
        <v>1281</v>
      </c>
      <c r="L215" s="3" t="s">
        <v>1282</v>
      </c>
      <c r="M215" s="3" t="s">
        <v>1283</v>
      </c>
      <c r="N215" s="3" t="s">
        <v>1522</v>
      </c>
    </row>
    <row r="216" spans="1:14" x14ac:dyDescent="0.45">
      <c r="A216" s="3" t="s">
        <v>450</v>
      </c>
      <c r="B216" s="3" t="s">
        <v>451</v>
      </c>
      <c r="C216" s="3" t="s">
        <v>1287</v>
      </c>
      <c r="D216" s="3" t="s">
        <v>1244</v>
      </c>
      <c r="E216" s="3" t="s">
        <v>1288</v>
      </c>
      <c r="F216" s="79">
        <v>99</v>
      </c>
      <c r="G216" s="3" t="s">
        <v>1221</v>
      </c>
      <c r="H216" s="3" t="s">
        <v>1511</v>
      </c>
      <c r="I216" s="3"/>
      <c r="J216" s="3" t="s">
        <v>1260</v>
      </c>
      <c r="K216" s="3" t="s">
        <v>1289</v>
      </c>
      <c r="L216" s="3" t="s">
        <v>1290</v>
      </c>
      <c r="M216" s="3" t="s">
        <v>1291</v>
      </c>
      <c r="N216" s="3" t="s">
        <v>1523</v>
      </c>
    </row>
    <row r="217" spans="1:14" x14ac:dyDescent="0.45">
      <c r="A217" s="3" t="s">
        <v>450</v>
      </c>
      <c r="B217" s="3" t="s">
        <v>451</v>
      </c>
      <c r="C217" s="3" t="s">
        <v>1293</v>
      </c>
      <c r="D217" s="3" t="s">
        <v>1294</v>
      </c>
      <c r="E217" s="3" t="s">
        <v>1295</v>
      </c>
      <c r="F217" s="79">
        <v>100</v>
      </c>
      <c r="G217" s="3" t="s">
        <v>1221</v>
      </c>
      <c r="H217" s="3" t="s">
        <v>1511</v>
      </c>
      <c r="I217" s="3"/>
      <c r="J217" s="3" t="s">
        <v>1260</v>
      </c>
      <c r="K217" s="3" t="s">
        <v>1296</v>
      </c>
      <c r="L217" s="3" t="s">
        <v>1297</v>
      </c>
      <c r="M217" s="3" t="s">
        <v>1298</v>
      </c>
      <c r="N217" s="3" t="s">
        <v>1524</v>
      </c>
    </row>
    <row r="218" spans="1:14" x14ac:dyDescent="0.45">
      <c r="A218" s="3" t="s">
        <v>450</v>
      </c>
      <c r="B218" s="3" t="s">
        <v>451</v>
      </c>
      <c r="C218" s="3" t="s">
        <v>1300</v>
      </c>
      <c r="D218" s="3" t="s">
        <v>1301</v>
      </c>
      <c r="E218" s="3" t="s">
        <v>1302</v>
      </c>
      <c r="F218" s="79">
        <v>100</v>
      </c>
      <c r="G218" s="3" t="s">
        <v>1221</v>
      </c>
      <c r="H218" s="3" t="s">
        <v>1511</v>
      </c>
      <c r="I218" s="3"/>
      <c r="J218" s="3" t="s">
        <v>1260</v>
      </c>
      <c r="K218" s="3" t="s">
        <v>1303</v>
      </c>
      <c r="L218" s="3" t="s">
        <v>1304</v>
      </c>
      <c r="M218" s="3" t="s">
        <v>1305</v>
      </c>
      <c r="N218" s="3" t="s">
        <v>1524</v>
      </c>
    </row>
    <row r="219" spans="1:14" x14ac:dyDescent="0.45">
      <c r="A219" s="3" t="s">
        <v>450</v>
      </c>
      <c r="B219" s="3" t="s">
        <v>451</v>
      </c>
      <c r="C219" s="3" t="s">
        <v>1307</v>
      </c>
      <c r="D219" s="3" t="s">
        <v>1244</v>
      </c>
      <c r="E219" s="3" t="s">
        <v>1302</v>
      </c>
      <c r="F219" s="79">
        <v>299</v>
      </c>
      <c r="G219" s="3" t="s">
        <v>1221</v>
      </c>
      <c r="H219" s="3" t="s">
        <v>1511</v>
      </c>
      <c r="I219" s="3"/>
      <c r="J219" s="3" t="s">
        <v>1260</v>
      </c>
      <c r="K219" s="3" t="s">
        <v>1303</v>
      </c>
      <c r="L219" s="3" t="s">
        <v>1304</v>
      </c>
      <c r="M219" s="3" t="s">
        <v>1305</v>
      </c>
      <c r="N219" s="3" t="s">
        <v>1525</v>
      </c>
    </row>
    <row r="220" spans="1:14" x14ac:dyDescent="0.45">
      <c r="A220" s="3" t="s">
        <v>450</v>
      </c>
      <c r="B220" s="3" t="s">
        <v>451</v>
      </c>
      <c r="C220" s="3" t="s">
        <v>1309</v>
      </c>
      <c r="D220" s="3" t="s">
        <v>1251</v>
      </c>
      <c r="E220" s="3" t="s">
        <v>1310</v>
      </c>
      <c r="F220" s="79">
        <v>107</v>
      </c>
      <c r="G220" s="3" t="s">
        <v>1221</v>
      </c>
      <c r="H220" s="3" t="s">
        <v>1511</v>
      </c>
      <c r="I220" s="3"/>
      <c r="J220" s="3" t="s">
        <v>1260</v>
      </c>
      <c r="K220" s="3" t="s">
        <v>1311</v>
      </c>
      <c r="L220" s="3" t="s">
        <v>1312</v>
      </c>
      <c r="M220" s="3" t="s">
        <v>1313</v>
      </c>
      <c r="N220" s="3" t="s">
        <v>1292</v>
      </c>
    </row>
    <row r="221" spans="1:14" x14ac:dyDescent="0.45">
      <c r="A221" s="3" t="s">
        <v>450</v>
      </c>
      <c r="B221" s="3" t="s">
        <v>451</v>
      </c>
      <c r="C221" s="3" t="s">
        <v>1315</v>
      </c>
      <c r="D221" s="3" t="s">
        <v>1316</v>
      </c>
      <c r="E221" s="3" t="s">
        <v>1317</v>
      </c>
      <c r="F221" s="79">
        <v>115</v>
      </c>
      <c r="G221" s="3" t="s">
        <v>1221</v>
      </c>
      <c r="H221" s="3" t="s">
        <v>1511</v>
      </c>
      <c r="I221" s="3"/>
      <c r="J221" s="3" t="s">
        <v>1260</v>
      </c>
      <c r="K221" s="3" t="s">
        <v>1318</v>
      </c>
      <c r="L221" s="3" t="s">
        <v>1319</v>
      </c>
      <c r="M221" s="3" t="s">
        <v>1320</v>
      </c>
      <c r="N221" s="3" t="s">
        <v>1264</v>
      </c>
    </row>
    <row r="222" spans="1:14" x14ac:dyDescent="0.45">
      <c r="A222" s="3" t="s">
        <v>450</v>
      </c>
      <c r="B222" s="3" t="s">
        <v>451</v>
      </c>
      <c r="C222" s="3" t="s">
        <v>1322</v>
      </c>
      <c r="D222" s="3" t="s">
        <v>1323</v>
      </c>
      <c r="E222" s="3" t="s">
        <v>1324</v>
      </c>
      <c r="F222" s="79">
        <v>119</v>
      </c>
      <c r="G222" s="3" t="s">
        <v>1221</v>
      </c>
      <c r="H222" s="3" t="s">
        <v>1511</v>
      </c>
      <c r="I222" s="3"/>
      <c r="J222" s="3" t="s">
        <v>1260</v>
      </c>
      <c r="K222" s="3" t="s">
        <v>1325</v>
      </c>
      <c r="L222" s="3" t="s">
        <v>1326</v>
      </c>
      <c r="M222" s="3" t="s">
        <v>1327</v>
      </c>
      <c r="N222" s="3" t="s">
        <v>1526</v>
      </c>
    </row>
    <row r="223" spans="1:14" x14ac:dyDescent="0.45">
      <c r="A223" s="3" t="s">
        <v>450</v>
      </c>
      <c r="B223" s="3" t="s">
        <v>451</v>
      </c>
      <c r="C223" s="3" t="s">
        <v>1329</v>
      </c>
      <c r="D223" s="3" t="s">
        <v>1251</v>
      </c>
      <c r="E223" s="3" t="s">
        <v>1324</v>
      </c>
      <c r="F223" s="79">
        <v>340</v>
      </c>
      <c r="G223" s="3" t="s">
        <v>1221</v>
      </c>
      <c r="H223" s="3" t="s">
        <v>1511</v>
      </c>
      <c r="I223" s="3"/>
      <c r="J223" s="3" t="s">
        <v>1260</v>
      </c>
      <c r="K223" s="3" t="s">
        <v>1325</v>
      </c>
      <c r="L223" s="3" t="s">
        <v>1326</v>
      </c>
      <c r="M223" s="3" t="s">
        <v>1327</v>
      </c>
      <c r="N223" s="3" t="s">
        <v>1527</v>
      </c>
    </row>
    <row r="224" spans="1:14" x14ac:dyDescent="0.45">
      <c r="A224" s="3" t="s">
        <v>450</v>
      </c>
      <c r="B224" s="3" t="s">
        <v>451</v>
      </c>
      <c r="C224" s="3" t="s">
        <v>1331</v>
      </c>
      <c r="D224" s="3" t="s">
        <v>1255</v>
      </c>
      <c r="E224" s="3" t="s">
        <v>1332</v>
      </c>
      <c r="F224" s="79">
        <v>133</v>
      </c>
      <c r="G224" s="3" t="s">
        <v>1221</v>
      </c>
      <c r="H224" s="3" t="s">
        <v>1511</v>
      </c>
      <c r="I224" s="3"/>
      <c r="J224" s="3" t="s">
        <v>1260</v>
      </c>
      <c r="K224" s="3" t="s">
        <v>1333</v>
      </c>
      <c r="L224" s="3" t="s">
        <v>1334</v>
      </c>
      <c r="M224" s="3" t="s">
        <v>1335</v>
      </c>
      <c r="N224" s="3" t="s">
        <v>1528</v>
      </c>
    </row>
    <row r="225" spans="1:14" x14ac:dyDescent="0.45">
      <c r="A225" s="3" t="s">
        <v>450</v>
      </c>
      <c r="B225" s="3" t="s">
        <v>451</v>
      </c>
      <c r="C225" s="3" t="s">
        <v>1337</v>
      </c>
      <c r="D225" s="3" t="s">
        <v>1338</v>
      </c>
      <c r="E225" s="3" t="s">
        <v>1339</v>
      </c>
      <c r="F225" s="79">
        <v>141</v>
      </c>
      <c r="G225" s="3" t="s">
        <v>1221</v>
      </c>
      <c r="H225" s="3" t="s">
        <v>1511</v>
      </c>
      <c r="I225" s="3"/>
      <c r="J225" s="3" t="s">
        <v>1260</v>
      </c>
      <c r="K225" s="3" t="s">
        <v>1340</v>
      </c>
      <c r="L225" s="3" t="s">
        <v>1341</v>
      </c>
      <c r="M225" s="3" t="s">
        <v>1342</v>
      </c>
      <c r="N225" s="3" t="s">
        <v>1529</v>
      </c>
    </row>
    <row r="226" spans="1:14" x14ac:dyDescent="0.45">
      <c r="A226" s="3" t="s">
        <v>450</v>
      </c>
      <c r="B226" s="3" t="s">
        <v>451</v>
      </c>
      <c r="C226" s="3" t="s">
        <v>1344</v>
      </c>
      <c r="D226" s="3" t="s">
        <v>1345</v>
      </c>
      <c r="E226" s="3" t="s">
        <v>1346</v>
      </c>
      <c r="F226" s="79">
        <v>144</v>
      </c>
      <c r="G226" s="3" t="s">
        <v>1221</v>
      </c>
      <c r="H226" s="3" t="s">
        <v>1511</v>
      </c>
      <c r="I226" s="3"/>
      <c r="J226" s="3" t="s">
        <v>1260</v>
      </c>
      <c r="K226" s="3" t="s">
        <v>1325</v>
      </c>
      <c r="L226" s="3" t="s">
        <v>1326</v>
      </c>
      <c r="M226" s="3" t="s">
        <v>1327</v>
      </c>
      <c r="N226" s="3" t="s">
        <v>1530</v>
      </c>
    </row>
    <row r="227" spans="1:14" x14ac:dyDescent="0.45">
      <c r="A227" s="3" t="s">
        <v>450</v>
      </c>
      <c r="B227" s="3" t="s">
        <v>451</v>
      </c>
      <c r="C227" s="3" t="s">
        <v>1348</v>
      </c>
      <c r="D227" s="3" t="s">
        <v>1255</v>
      </c>
      <c r="E227" s="3" t="s">
        <v>1346</v>
      </c>
      <c r="F227" s="79">
        <v>418</v>
      </c>
      <c r="G227" s="3" t="s">
        <v>1221</v>
      </c>
      <c r="H227" s="3" t="s">
        <v>1511</v>
      </c>
      <c r="I227" s="3"/>
      <c r="J227" s="3" t="s">
        <v>1260</v>
      </c>
      <c r="K227" s="3" t="s">
        <v>1325</v>
      </c>
      <c r="L227" s="3" t="s">
        <v>1326</v>
      </c>
      <c r="M227" s="3" t="s">
        <v>1327</v>
      </c>
      <c r="N227" s="3" t="s">
        <v>1531</v>
      </c>
    </row>
    <row r="228" spans="1:14" x14ac:dyDescent="0.45">
      <c r="A228" s="3" t="s">
        <v>450</v>
      </c>
      <c r="B228" s="3" t="s">
        <v>451</v>
      </c>
      <c r="C228" s="3" t="s">
        <v>1350</v>
      </c>
      <c r="D228" s="3" t="s">
        <v>1351</v>
      </c>
      <c r="E228" s="3" t="s">
        <v>1352</v>
      </c>
      <c r="F228" s="79">
        <v>156</v>
      </c>
      <c r="G228" s="3" t="s">
        <v>1221</v>
      </c>
      <c r="H228" s="3" t="s">
        <v>1511</v>
      </c>
      <c r="I228" s="3"/>
      <c r="J228" s="3" t="s">
        <v>1260</v>
      </c>
      <c r="K228" s="3" t="s">
        <v>1333</v>
      </c>
      <c r="L228" s="3" t="s">
        <v>1334</v>
      </c>
      <c r="M228" s="3" t="s">
        <v>1335</v>
      </c>
      <c r="N228" s="3" t="s">
        <v>1532</v>
      </c>
    </row>
    <row r="229" spans="1:14" x14ac:dyDescent="0.45">
      <c r="A229" s="3" t="s">
        <v>450</v>
      </c>
      <c r="B229" s="3" t="s">
        <v>451</v>
      </c>
      <c r="C229" s="3" t="s">
        <v>1354</v>
      </c>
      <c r="D229" s="3" t="s">
        <v>1355</v>
      </c>
      <c r="E229" s="3" t="s">
        <v>1356</v>
      </c>
      <c r="F229" s="79">
        <v>166</v>
      </c>
      <c r="G229" s="3" t="s">
        <v>1221</v>
      </c>
      <c r="H229" s="3" t="s">
        <v>1511</v>
      </c>
      <c r="I229" s="3"/>
      <c r="J229" s="3" t="s">
        <v>1260</v>
      </c>
      <c r="K229" s="3" t="s">
        <v>1340</v>
      </c>
      <c r="L229" s="3" t="s">
        <v>1341</v>
      </c>
      <c r="M229" s="3" t="s">
        <v>1342</v>
      </c>
      <c r="N229" s="3" t="s">
        <v>1321</v>
      </c>
    </row>
    <row r="230" spans="1:14" x14ac:dyDescent="0.45">
      <c r="A230" s="3" t="s">
        <v>452</v>
      </c>
      <c r="B230" s="3" t="s">
        <v>453</v>
      </c>
      <c r="C230" s="3" t="s">
        <v>1218</v>
      </c>
      <c r="D230" s="3" t="s">
        <v>1219</v>
      </c>
      <c r="E230" s="3" t="s">
        <v>1220</v>
      </c>
      <c r="F230" s="79">
        <v>109</v>
      </c>
      <c r="G230" s="3" t="s">
        <v>1221</v>
      </c>
      <c r="H230" s="3" t="s">
        <v>1533</v>
      </c>
      <c r="I230" s="3"/>
      <c r="J230" s="3" t="s">
        <v>1224</v>
      </c>
      <c r="K230" s="3" t="s">
        <v>1225</v>
      </c>
      <c r="L230" s="3" t="s">
        <v>1226</v>
      </c>
      <c r="M230" s="3" t="s">
        <v>1227</v>
      </c>
      <c r="N230" s="3" t="s">
        <v>1534</v>
      </c>
    </row>
    <row r="231" spans="1:14" x14ac:dyDescent="0.45">
      <c r="A231" s="3" t="s">
        <v>452</v>
      </c>
      <c r="B231" s="3" t="s">
        <v>453</v>
      </c>
      <c r="C231" s="3" t="s">
        <v>1229</v>
      </c>
      <c r="D231" s="3" t="s">
        <v>1230</v>
      </c>
      <c r="E231" s="3" t="s">
        <v>1231</v>
      </c>
      <c r="F231" s="79">
        <v>163</v>
      </c>
      <c r="G231" s="3" t="s">
        <v>1221</v>
      </c>
      <c r="H231" s="3" t="s">
        <v>1533</v>
      </c>
      <c r="I231" s="3"/>
      <c r="J231" s="3" t="s">
        <v>1224</v>
      </c>
      <c r="K231" s="3" t="s">
        <v>1232</v>
      </c>
      <c r="L231" s="3" t="s">
        <v>1233</v>
      </c>
      <c r="M231" s="3" t="s">
        <v>1234</v>
      </c>
      <c r="N231" s="3" t="s">
        <v>1535</v>
      </c>
    </row>
    <row r="232" spans="1:14" x14ac:dyDescent="0.45">
      <c r="A232" s="3" t="s">
        <v>452</v>
      </c>
      <c r="B232" s="3" t="s">
        <v>453</v>
      </c>
      <c r="C232" s="3" t="s">
        <v>1236</v>
      </c>
      <c r="D232" s="3" t="s">
        <v>1237</v>
      </c>
      <c r="E232" s="3" t="s">
        <v>1238</v>
      </c>
      <c r="F232" s="79">
        <v>282</v>
      </c>
      <c r="G232" s="3" t="s">
        <v>1221</v>
      </c>
      <c r="H232" s="3" t="s">
        <v>1533</v>
      </c>
      <c r="I232" s="3"/>
      <c r="J232" s="3" t="s">
        <v>1224</v>
      </c>
      <c r="K232" s="3" t="s">
        <v>1239</v>
      </c>
      <c r="L232" s="3" t="s">
        <v>1240</v>
      </c>
      <c r="M232" s="3" t="s">
        <v>1241</v>
      </c>
      <c r="N232" s="3" t="s">
        <v>1536</v>
      </c>
    </row>
    <row r="233" spans="1:14" x14ac:dyDescent="0.45">
      <c r="A233" s="3" t="s">
        <v>452</v>
      </c>
      <c r="B233" s="3" t="s">
        <v>453</v>
      </c>
      <c r="C233" s="3" t="s">
        <v>1243</v>
      </c>
      <c r="D233" s="3" t="s">
        <v>1244</v>
      </c>
      <c r="E233" s="3" t="s">
        <v>1245</v>
      </c>
      <c r="F233" s="79">
        <v>358</v>
      </c>
      <c r="G233" s="3" t="s">
        <v>1221</v>
      </c>
      <c r="H233" s="3" t="s">
        <v>1533</v>
      </c>
      <c r="I233" s="3"/>
      <c r="J233" s="3" t="s">
        <v>1224</v>
      </c>
      <c r="K233" s="3" t="s">
        <v>1246</v>
      </c>
      <c r="L233" s="3" t="s">
        <v>1247</v>
      </c>
      <c r="M233" s="3" t="s">
        <v>1248</v>
      </c>
      <c r="N233" s="3" t="s">
        <v>1308</v>
      </c>
    </row>
    <row r="234" spans="1:14" x14ac:dyDescent="0.45">
      <c r="A234" s="3" t="s">
        <v>452</v>
      </c>
      <c r="B234" s="3" t="s">
        <v>453</v>
      </c>
      <c r="C234" s="3" t="s">
        <v>1250</v>
      </c>
      <c r="D234" s="3" t="s">
        <v>1251</v>
      </c>
      <c r="E234" s="3" t="s">
        <v>1252</v>
      </c>
      <c r="F234" s="79">
        <v>351</v>
      </c>
      <c r="G234" s="3" t="s">
        <v>1221</v>
      </c>
      <c r="H234" s="3" t="s">
        <v>1533</v>
      </c>
      <c r="I234" s="3"/>
      <c r="J234" s="3" t="s">
        <v>1224</v>
      </c>
      <c r="K234" s="3" t="s">
        <v>1246</v>
      </c>
      <c r="L234" s="3" t="s">
        <v>1247</v>
      </c>
      <c r="M234" s="3" t="s">
        <v>1248</v>
      </c>
      <c r="N234" s="3" t="s">
        <v>1537</v>
      </c>
    </row>
    <row r="235" spans="1:14" x14ac:dyDescent="0.45">
      <c r="A235" s="3" t="s">
        <v>452</v>
      </c>
      <c r="B235" s="3" t="s">
        <v>453</v>
      </c>
      <c r="C235" s="3" t="s">
        <v>1254</v>
      </c>
      <c r="D235" s="3" t="s">
        <v>1255</v>
      </c>
      <c r="E235" s="3" t="s">
        <v>1256</v>
      </c>
      <c r="F235" s="79">
        <v>374</v>
      </c>
      <c r="G235" s="3" t="s">
        <v>1221</v>
      </c>
      <c r="H235" s="3" t="s">
        <v>1533</v>
      </c>
      <c r="I235" s="3"/>
      <c r="J235" s="3" t="s">
        <v>1224</v>
      </c>
      <c r="K235" s="3" t="s">
        <v>1246</v>
      </c>
      <c r="L235" s="3" t="s">
        <v>1247</v>
      </c>
      <c r="M235" s="3" t="s">
        <v>1248</v>
      </c>
      <c r="N235" s="3" t="s">
        <v>1538</v>
      </c>
    </row>
    <row r="236" spans="1:14" x14ac:dyDescent="0.45">
      <c r="A236" s="3" t="s">
        <v>452</v>
      </c>
      <c r="B236" s="3" t="s">
        <v>453</v>
      </c>
      <c r="C236" s="3" t="s">
        <v>1258</v>
      </c>
      <c r="D236" s="3" t="s">
        <v>1230</v>
      </c>
      <c r="E236" s="3" t="s">
        <v>1259</v>
      </c>
      <c r="F236" s="79">
        <v>113</v>
      </c>
      <c r="G236" s="3" t="s">
        <v>1221</v>
      </c>
      <c r="H236" s="3" t="s">
        <v>1533</v>
      </c>
      <c r="I236" s="3"/>
      <c r="J236" s="3" t="s">
        <v>1260</v>
      </c>
      <c r="K236" s="3" t="s">
        <v>1261</v>
      </c>
      <c r="L236" s="3" t="s">
        <v>1262</v>
      </c>
      <c r="M236" s="3" t="s">
        <v>1263</v>
      </c>
      <c r="N236" s="3" t="s">
        <v>1495</v>
      </c>
    </row>
    <row r="237" spans="1:14" x14ac:dyDescent="0.45">
      <c r="A237" s="3" t="s">
        <v>452</v>
      </c>
      <c r="B237" s="3" t="s">
        <v>453</v>
      </c>
      <c r="C237" s="3" t="s">
        <v>1265</v>
      </c>
      <c r="D237" s="3" t="s">
        <v>1237</v>
      </c>
      <c r="E237" s="3" t="s">
        <v>1266</v>
      </c>
      <c r="F237" s="79">
        <v>62</v>
      </c>
      <c r="G237" s="3" t="s">
        <v>1221</v>
      </c>
      <c r="H237" s="3" t="s">
        <v>1533</v>
      </c>
      <c r="I237" s="3"/>
      <c r="J237" s="3" t="s">
        <v>1260</v>
      </c>
      <c r="K237" s="3" t="s">
        <v>1267</v>
      </c>
      <c r="L237" s="3" t="s">
        <v>1268</v>
      </c>
      <c r="M237" s="3" t="s">
        <v>1269</v>
      </c>
      <c r="N237" s="3" t="s">
        <v>1539</v>
      </c>
    </row>
    <row r="238" spans="1:14" x14ac:dyDescent="0.45">
      <c r="A238" s="3" t="s">
        <v>452</v>
      </c>
      <c r="B238" s="3" t="s">
        <v>453</v>
      </c>
      <c r="C238" s="3" t="s">
        <v>1271</v>
      </c>
      <c r="D238" s="3" t="s">
        <v>1272</v>
      </c>
      <c r="E238" s="3" t="s">
        <v>1273</v>
      </c>
      <c r="F238" s="79">
        <v>67</v>
      </c>
      <c r="G238" s="3" t="s">
        <v>1221</v>
      </c>
      <c r="H238" s="3" t="s">
        <v>1533</v>
      </c>
      <c r="I238" s="3"/>
      <c r="J238" s="3" t="s">
        <v>1260</v>
      </c>
      <c r="K238" s="3" t="s">
        <v>1274</v>
      </c>
      <c r="L238" s="3" t="s">
        <v>1275</v>
      </c>
      <c r="M238" s="3" t="s">
        <v>1276</v>
      </c>
      <c r="N238" s="3" t="s">
        <v>1430</v>
      </c>
    </row>
    <row r="239" spans="1:14" x14ac:dyDescent="0.45">
      <c r="A239" s="3" t="s">
        <v>452</v>
      </c>
      <c r="B239" s="3" t="s">
        <v>453</v>
      </c>
      <c r="C239" s="3" t="s">
        <v>1278</v>
      </c>
      <c r="D239" s="3" t="s">
        <v>1279</v>
      </c>
      <c r="E239" s="3" t="s">
        <v>1280</v>
      </c>
      <c r="F239" s="79">
        <v>74</v>
      </c>
      <c r="G239" s="3" t="s">
        <v>1221</v>
      </c>
      <c r="H239" s="3" t="s">
        <v>1533</v>
      </c>
      <c r="I239" s="3"/>
      <c r="J239" s="3" t="s">
        <v>1260</v>
      </c>
      <c r="K239" s="3" t="s">
        <v>1281</v>
      </c>
      <c r="L239" s="3" t="s">
        <v>1282</v>
      </c>
      <c r="M239" s="3" t="s">
        <v>1283</v>
      </c>
      <c r="N239" s="3" t="s">
        <v>1540</v>
      </c>
    </row>
    <row r="240" spans="1:14" x14ac:dyDescent="0.45">
      <c r="A240" s="3" t="s">
        <v>452</v>
      </c>
      <c r="B240" s="3" t="s">
        <v>453</v>
      </c>
      <c r="C240" s="3" t="s">
        <v>1285</v>
      </c>
      <c r="D240" s="3" t="s">
        <v>1237</v>
      </c>
      <c r="E240" s="3" t="s">
        <v>1280</v>
      </c>
      <c r="F240" s="79">
        <v>203</v>
      </c>
      <c r="G240" s="3" t="s">
        <v>1221</v>
      </c>
      <c r="H240" s="3" t="s">
        <v>1533</v>
      </c>
      <c r="I240" s="3"/>
      <c r="J240" s="3" t="s">
        <v>1260</v>
      </c>
      <c r="K240" s="3" t="s">
        <v>1281</v>
      </c>
      <c r="L240" s="3" t="s">
        <v>1282</v>
      </c>
      <c r="M240" s="3" t="s">
        <v>1283</v>
      </c>
      <c r="N240" s="3" t="s">
        <v>1541</v>
      </c>
    </row>
    <row r="241" spans="1:14" x14ac:dyDescent="0.45">
      <c r="A241" s="3" t="s">
        <v>452</v>
      </c>
      <c r="B241" s="3" t="s">
        <v>453</v>
      </c>
      <c r="C241" s="3" t="s">
        <v>1287</v>
      </c>
      <c r="D241" s="3" t="s">
        <v>1244</v>
      </c>
      <c r="E241" s="3" t="s">
        <v>1288</v>
      </c>
      <c r="F241" s="79">
        <v>85</v>
      </c>
      <c r="G241" s="3" t="s">
        <v>1221</v>
      </c>
      <c r="H241" s="3" t="s">
        <v>1533</v>
      </c>
      <c r="I241" s="3"/>
      <c r="J241" s="3" t="s">
        <v>1260</v>
      </c>
      <c r="K241" s="3" t="s">
        <v>1289</v>
      </c>
      <c r="L241" s="3" t="s">
        <v>1290</v>
      </c>
      <c r="M241" s="3" t="s">
        <v>1291</v>
      </c>
      <c r="N241" s="3" t="s">
        <v>1542</v>
      </c>
    </row>
    <row r="242" spans="1:14" x14ac:dyDescent="0.45">
      <c r="A242" s="3" t="s">
        <v>452</v>
      </c>
      <c r="B242" s="3" t="s">
        <v>453</v>
      </c>
      <c r="C242" s="3" t="s">
        <v>1293</v>
      </c>
      <c r="D242" s="3" t="s">
        <v>1294</v>
      </c>
      <c r="E242" s="3" t="s">
        <v>1295</v>
      </c>
      <c r="F242" s="79">
        <v>92</v>
      </c>
      <c r="G242" s="3" t="s">
        <v>1221</v>
      </c>
      <c r="H242" s="3" t="s">
        <v>1533</v>
      </c>
      <c r="I242" s="3"/>
      <c r="J242" s="3" t="s">
        <v>1260</v>
      </c>
      <c r="K242" s="3" t="s">
        <v>1296</v>
      </c>
      <c r="L242" s="3" t="s">
        <v>1297</v>
      </c>
      <c r="M242" s="3" t="s">
        <v>1298</v>
      </c>
      <c r="N242" s="3" t="s">
        <v>1543</v>
      </c>
    </row>
    <row r="243" spans="1:14" x14ac:dyDescent="0.45">
      <c r="A243" s="3" t="s">
        <v>452</v>
      </c>
      <c r="B243" s="3" t="s">
        <v>453</v>
      </c>
      <c r="C243" s="3" t="s">
        <v>1300</v>
      </c>
      <c r="D243" s="3" t="s">
        <v>1301</v>
      </c>
      <c r="E243" s="3" t="s">
        <v>1302</v>
      </c>
      <c r="F243" s="79">
        <v>87</v>
      </c>
      <c r="G243" s="3" t="s">
        <v>1221</v>
      </c>
      <c r="H243" s="3" t="s">
        <v>1533</v>
      </c>
      <c r="I243" s="3"/>
      <c r="J243" s="3" t="s">
        <v>1260</v>
      </c>
      <c r="K243" s="3" t="s">
        <v>1303</v>
      </c>
      <c r="L243" s="3" t="s">
        <v>1304</v>
      </c>
      <c r="M243" s="3" t="s">
        <v>1305</v>
      </c>
      <c r="N243" s="3" t="s">
        <v>1544</v>
      </c>
    </row>
    <row r="244" spans="1:14" x14ac:dyDescent="0.45">
      <c r="A244" s="3" t="s">
        <v>452</v>
      </c>
      <c r="B244" s="3" t="s">
        <v>453</v>
      </c>
      <c r="C244" s="3" t="s">
        <v>1307</v>
      </c>
      <c r="D244" s="3" t="s">
        <v>1244</v>
      </c>
      <c r="E244" s="3" t="s">
        <v>1302</v>
      </c>
      <c r="F244" s="79">
        <v>264</v>
      </c>
      <c r="G244" s="3" t="s">
        <v>1221</v>
      </c>
      <c r="H244" s="3" t="s">
        <v>1533</v>
      </c>
      <c r="I244" s="3"/>
      <c r="J244" s="3" t="s">
        <v>1260</v>
      </c>
      <c r="K244" s="3" t="s">
        <v>1303</v>
      </c>
      <c r="L244" s="3" t="s">
        <v>1304</v>
      </c>
      <c r="M244" s="3" t="s">
        <v>1305</v>
      </c>
      <c r="N244" s="3" t="s">
        <v>1414</v>
      </c>
    </row>
    <row r="245" spans="1:14" x14ac:dyDescent="0.45">
      <c r="A245" s="3" t="s">
        <v>452</v>
      </c>
      <c r="B245" s="3" t="s">
        <v>453</v>
      </c>
      <c r="C245" s="3" t="s">
        <v>1309</v>
      </c>
      <c r="D245" s="3" t="s">
        <v>1251</v>
      </c>
      <c r="E245" s="3" t="s">
        <v>1310</v>
      </c>
      <c r="F245" s="79">
        <v>83</v>
      </c>
      <c r="G245" s="3" t="s">
        <v>1221</v>
      </c>
      <c r="H245" s="3" t="s">
        <v>1533</v>
      </c>
      <c r="I245" s="3"/>
      <c r="J245" s="3" t="s">
        <v>1260</v>
      </c>
      <c r="K245" s="3" t="s">
        <v>1311</v>
      </c>
      <c r="L245" s="3" t="s">
        <v>1312</v>
      </c>
      <c r="M245" s="3" t="s">
        <v>1313</v>
      </c>
      <c r="N245" s="3" t="s">
        <v>1545</v>
      </c>
    </row>
    <row r="246" spans="1:14" x14ac:dyDescent="0.45">
      <c r="A246" s="3" t="s">
        <v>452</v>
      </c>
      <c r="B246" s="3" t="s">
        <v>453</v>
      </c>
      <c r="C246" s="3" t="s">
        <v>1315</v>
      </c>
      <c r="D246" s="3" t="s">
        <v>1316</v>
      </c>
      <c r="E246" s="3" t="s">
        <v>1317</v>
      </c>
      <c r="F246" s="79">
        <v>87</v>
      </c>
      <c r="G246" s="3" t="s">
        <v>1221</v>
      </c>
      <c r="H246" s="3" t="s">
        <v>1533</v>
      </c>
      <c r="I246" s="3"/>
      <c r="J246" s="3" t="s">
        <v>1260</v>
      </c>
      <c r="K246" s="3" t="s">
        <v>1318</v>
      </c>
      <c r="L246" s="3" t="s">
        <v>1319</v>
      </c>
      <c r="M246" s="3" t="s">
        <v>1320</v>
      </c>
      <c r="N246" s="3" t="s">
        <v>1544</v>
      </c>
    </row>
    <row r="247" spans="1:14" x14ac:dyDescent="0.45">
      <c r="A247" s="3" t="s">
        <v>452</v>
      </c>
      <c r="B247" s="3" t="s">
        <v>453</v>
      </c>
      <c r="C247" s="3" t="s">
        <v>1322</v>
      </c>
      <c r="D247" s="3" t="s">
        <v>1323</v>
      </c>
      <c r="E247" s="3" t="s">
        <v>1324</v>
      </c>
      <c r="F247" s="79">
        <v>89</v>
      </c>
      <c r="G247" s="3" t="s">
        <v>1221</v>
      </c>
      <c r="H247" s="3" t="s">
        <v>1533</v>
      </c>
      <c r="I247" s="3"/>
      <c r="J247" s="3" t="s">
        <v>1260</v>
      </c>
      <c r="K247" s="3" t="s">
        <v>1325</v>
      </c>
      <c r="L247" s="3" t="s">
        <v>1326</v>
      </c>
      <c r="M247" s="3" t="s">
        <v>1327</v>
      </c>
      <c r="N247" s="3" t="s">
        <v>1494</v>
      </c>
    </row>
    <row r="248" spans="1:14" x14ac:dyDescent="0.45">
      <c r="A248" s="3" t="s">
        <v>452</v>
      </c>
      <c r="B248" s="3" t="s">
        <v>453</v>
      </c>
      <c r="C248" s="3" t="s">
        <v>1329</v>
      </c>
      <c r="D248" s="3" t="s">
        <v>1251</v>
      </c>
      <c r="E248" s="3" t="s">
        <v>1324</v>
      </c>
      <c r="F248" s="79">
        <v>258</v>
      </c>
      <c r="G248" s="3" t="s">
        <v>1221</v>
      </c>
      <c r="H248" s="3" t="s">
        <v>1533</v>
      </c>
      <c r="I248" s="3"/>
      <c r="J248" s="3" t="s">
        <v>1260</v>
      </c>
      <c r="K248" s="3" t="s">
        <v>1325</v>
      </c>
      <c r="L248" s="3" t="s">
        <v>1326</v>
      </c>
      <c r="M248" s="3" t="s">
        <v>1327</v>
      </c>
      <c r="N248" s="3" t="s">
        <v>1546</v>
      </c>
    </row>
    <row r="249" spans="1:14" x14ac:dyDescent="0.45">
      <c r="A249" s="3" t="s">
        <v>452</v>
      </c>
      <c r="B249" s="3" t="s">
        <v>453</v>
      </c>
      <c r="C249" s="3" t="s">
        <v>1331</v>
      </c>
      <c r="D249" s="3" t="s">
        <v>1255</v>
      </c>
      <c r="E249" s="3" t="s">
        <v>1332</v>
      </c>
      <c r="F249" s="79">
        <v>84</v>
      </c>
      <c r="G249" s="3" t="s">
        <v>1221</v>
      </c>
      <c r="H249" s="3" t="s">
        <v>1533</v>
      </c>
      <c r="I249" s="3"/>
      <c r="J249" s="3" t="s">
        <v>1260</v>
      </c>
      <c r="K249" s="3" t="s">
        <v>1333</v>
      </c>
      <c r="L249" s="3" t="s">
        <v>1334</v>
      </c>
      <c r="M249" s="3" t="s">
        <v>1335</v>
      </c>
      <c r="N249" s="3" t="s">
        <v>1521</v>
      </c>
    </row>
    <row r="250" spans="1:14" x14ac:dyDescent="0.45">
      <c r="A250" s="3" t="s">
        <v>452</v>
      </c>
      <c r="B250" s="3" t="s">
        <v>453</v>
      </c>
      <c r="C250" s="3" t="s">
        <v>1337</v>
      </c>
      <c r="D250" s="3" t="s">
        <v>1338</v>
      </c>
      <c r="E250" s="3" t="s">
        <v>1339</v>
      </c>
      <c r="F250" s="79">
        <v>91</v>
      </c>
      <c r="G250" s="3" t="s">
        <v>1221</v>
      </c>
      <c r="H250" s="3" t="s">
        <v>1533</v>
      </c>
      <c r="I250" s="3"/>
      <c r="J250" s="3" t="s">
        <v>1260</v>
      </c>
      <c r="K250" s="3" t="s">
        <v>1340</v>
      </c>
      <c r="L250" s="3" t="s">
        <v>1341</v>
      </c>
      <c r="M250" s="3" t="s">
        <v>1342</v>
      </c>
      <c r="N250" s="3" t="s">
        <v>1547</v>
      </c>
    </row>
    <row r="251" spans="1:14" x14ac:dyDescent="0.45">
      <c r="A251" s="3" t="s">
        <v>452</v>
      </c>
      <c r="B251" s="3" t="s">
        <v>453</v>
      </c>
      <c r="C251" s="3" t="s">
        <v>1344</v>
      </c>
      <c r="D251" s="3" t="s">
        <v>1345</v>
      </c>
      <c r="E251" s="3" t="s">
        <v>1346</v>
      </c>
      <c r="F251" s="79">
        <v>102</v>
      </c>
      <c r="G251" s="3" t="s">
        <v>1221</v>
      </c>
      <c r="H251" s="3" t="s">
        <v>1533</v>
      </c>
      <c r="I251" s="3"/>
      <c r="J251" s="3" t="s">
        <v>1260</v>
      </c>
      <c r="K251" s="3" t="s">
        <v>1325</v>
      </c>
      <c r="L251" s="3" t="s">
        <v>1326</v>
      </c>
      <c r="M251" s="3" t="s">
        <v>1327</v>
      </c>
      <c r="N251" s="3" t="s">
        <v>1548</v>
      </c>
    </row>
    <row r="252" spans="1:14" x14ac:dyDescent="0.45">
      <c r="A252" s="3" t="s">
        <v>452</v>
      </c>
      <c r="B252" s="3" t="s">
        <v>453</v>
      </c>
      <c r="C252" s="3" t="s">
        <v>1348</v>
      </c>
      <c r="D252" s="3" t="s">
        <v>1255</v>
      </c>
      <c r="E252" s="3" t="s">
        <v>1346</v>
      </c>
      <c r="F252" s="79">
        <v>277</v>
      </c>
      <c r="G252" s="3" t="s">
        <v>1221</v>
      </c>
      <c r="H252" s="3" t="s">
        <v>1533</v>
      </c>
      <c r="I252" s="3"/>
      <c r="J252" s="3" t="s">
        <v>1260</v>
      </c>
      <c r="K252" s="3" t="s">
        <v>1325</v>
      </c>
      <c r="L252" s="3" t="s">
        <v>1326</v>
      </c>
      <c r="M252" s="3" t="s">
        <v>1327</v>
      </c>
      <c r="N252" s="3" t="s">
        <v>1549</v>
      </c>
    </row>
    <row r="253" spans="1:14" x14ac:dyDescent="0.45">
      <c r="A253" s="3" t="s">
        <v>452</v>
      </c>
      <c r="B253" s="3" t="s">
        <v>453</v>
      </c>
      <c r="C253" s="3" t="s">
        <v>1350</v>
      </c>
      <c r="D253" s="3" t="s">
        <v>1351</v>
      </c>
      <c r="E253" s="3" t="s">
        <v>1352</v>
      </c>
      <c r="F253" s="79">
        <v>97</v>
      </c>
      <c r="G253" s="3" t="s">
        <v>1221</v>
      </c>
      <c r="H253" s="3" t="s">
        <v>1533</v>
      </c>
      <c r="I253" s="3"/>
      <c r="J253" s="3" t="s">
        <v>1260</v>
      </c>
      <c r="K253" s="3" t="s">
        <v>1333</v>
      </c>
      <c r="L253" s="3" t="s">
        <v>1334</v>
      </c>
      <c r="M253" s="3" t="s">
        <v>1335</v>
      </c>
      <c r="N253" s="3" t="s">
        <v>1550</v>
      </c>
    </row>
    <row r="254" spans="1:14" x14ac:dyDescent="0.45">
      <c r="A254" s="3" t="s">
        <v>452</v>
      </c>
      <c r="B254" s="3" t="s">
        <v>453</v>
      </c>
      <c r="C254" s="3" t="s">
        <v>1354</v>
      </c>
      <c r="D254" s="3" t="s">
        <v>1355</v>
      </c>
      <c r="E254" s="3" t="s">
        <v>1356</v>
      </c>
      <c r="F254" s="79">
        <v>109</v>
      </c>
      <c r="G254" s="3" t="s">
        <v>1221</v>
      </c>
      <c r="H254" s="3" t="s">
        <v>1533</v>
      </c>
      <c r="I254" s="3"/>
      <c r="J254" s="3" t="s">
        <v>1260</v>
      </c>
      <c r="K254" s="3" t="s">
        <v>1340</v>
      </c>
      <c r="L254" s="3" t="s">
        <v>1341</v>
      </c>
      <c r="M254" s="3" t="s">
        <v>1342</v>
      </c>
      <c r="N254" s="3" t="s">
        <v>1534</v>
      </c>
    </row>
    <row r="255" spans="1:14" x14ac:dyDescent="0.45">
      <c r="A255" s="3" t="s">
        <v>454</v>
      </c>
      <c r="B255" s="3" t="s">
        <v>455</v>
      </c>
      <c r="C255" s="3" t="s">
        <v>1218</v>
      </c>
      <c r="D255" s="3" t="s">
        <v>1219</v>
      </c>
      <c r="E255" s="3" t="s">
        <v>1220</v>
      </c>
      <c r="F255" s="79">
        <v>113</v>
      </c>
      <c r="G255" s="3" t="s">
        <v>1221</v>
      </c>
      <c r="H255" s="3" t="s">
        <v>1551</v>
      </c>
      <c r="I255" s="3"/>
      <c r="J255" s="3" t="s">
        <v>1224</v>
      </c>
      <c r="K255" s="3" t="s">
        <v>1225</v>
      </c>
      <c r="L255" s="3" t="s">
        <v>1226</v>
      </c>
      <c r="M255" s="3" t="s">
        <v>1227</v>
      </c>
      <c r="N255" s="3" t="s">
        <v>1495</v>
      </c>
    </row>
    <row r="256" spans="1:14" x14ac:dyDescent="0.45">
      <c r="A256" s="3" t="s">
        <v>454</v>
      </c>
      <c r="B256" s="3" t="s">
        <v>455</v>
      </c>
      <c r="C256" s="3" t="s">
        <v>1229</v>
      </c>
      <c r="D256" s="3" t="s">
        <v>1230</v>
      </c>
      <c r="E256" s="3" t="s">
        <v>1231</v>
      </c>
      <c r="F256" s="79">
        <v>189</v>
      </c>
      <c r="G256" s="3" t="s">
        <v>1221</v>
      </c>
      <c r="H256" s="3" t="s">
        <v>1551</v>
      </c>
      <c r="I256" s="3"/>
      <c r="J256" s="3" t="s">
        <v>1224</v>
      </c>
      <c r="K256" s="3" t="s">
        <v>1232</v>
      </c>
      <c r="L256" s="3" t="s">
        <v>1233</v>
      </c>
      <c r="M256" s="3" t="s">
        <v>1234</v>
      </c>
      <c r="N256" s="3" t="s">
        <v>1328</v>
      </c>
    </row>
    <row r="257" spans="1:14" x14ac:dyDescent="0.45">
      <c r="A257" s="3" t="s">
        <v>454</v>
      </c>
      <c r="B257" s="3" t="s">
        <v>455</v>
      </c>
      <c r="C257" s="3" t="s">
        <v>1236</v>
      </c>
      <c r="D257" s="3" t="s">
        <v>1237</v>
      </c>
      <c r="E257" s="3" t="s">
        <v>1238</v>
      </c>
      <c r="F257" s="79">
        <v>294</v>
      </c>
      <c r="G257" s="3" t="s">
        <v>1221</v>
      </c>
      <c r="H257" s="3" t="s">
        <v>1551</v>
      </c>
      <c r="I257" s="3"/>
      <c r="J257" s="3" t="s">
        <v>1224</v>
      </c>
      <c r="K257" s="3" t="s">
        <v>1239</v>
      </c>
      <c r="L257" s="3" t="s">
        <v>1240</v>
      </c>
      <c r="M257" s="3" t="s">
        <v>1241</v>
      </c>
      <c r="N257" s="3" t="s">
        <v>1552</v>
      </c>
    </row>
    <row r="258" spans="1:14" x14ac:dyDescent="0.45">
      <c r="A258" s="3" t="s">
        <v>454</v>
      </c>
      <c r="B258" s="3" t="s">
        <v>455</v>
      </c>
      <c r="C258" s="3" t="s">
        <v>1243</v>
      </c>
      <c r="D258" s="3" t="s">
        <v>1244</v>
      </c>
      <c r="E258" s="3" t="s">
        <v>1245</v>
      </c>
      <c r="F258" s="79">
        <v>362</v>
      </c>
      <c r="G258" s="3" t="s">
        <v>1221</v>
      </c>
      <c r="H258" s="3" t="s">
        <v>1551</v>
      </c>
      <c r="I258" s="3"/>
      <c r="J258" s="3" t="s">
        <v>1224</v>
      </c>
      <c r="K258" s="3" t="s">
        <v>1246</v>
      </c>
      <c r="L258" s="3" t="s">
        <v>1247</v>
      </c>
      <c r="M258" s="3" t="s">
        <v>1248</v>
      </c>
      <c r="N258" s="3" t="s">
        <v>1553</v>
      </c>
    </row>
    <row r="259" spans="1:14" x14ac:dyDescent="0.45">
      <c r="A259" s="3" t="s">
        <v>454</v>
      </c>
      <c r="B259" s="3" t="s">
        <v>455</v>
      </c>
      <c r="C259" s="3" t="s">
        <v>1250</v>
      </c>
      <c r="D259" s="3" t="s">
        <v>1251</v>
      </c>
      <c r="E259" s="3" t="s">
        <v>1252</v>
      </c>
      <c r="F259" s="79">
        <v>307</v>
      </c>
      <c r="G259" s="3" t="s">
        <v>1221</v>
      </c>
      <c r="H259" s="3" t="s">
        <v>1551</v>
      </c>
      <c r="I259" s="3"/>
      <c r="J259" s="3" t="s">
        <v>1224</v>
      </c>
      <c r="K259" s="3" t="s">
        <v>1246</v>
      </c>
      <c r="L259" s="3" t="s">
        <v>1247</v>
      </c>
      <c r="M259" s="3" t="s">
        <v>1248</v>
      </c>
      <c r="N259" s="3" t="s">
        <v>1554</v>
      </c>
    </row>
    <row r="260" spans="1:14" x14ac:dyDescent="0.45">
      <c r="A260" s="3" t="s">
        <v>454</v>
      </c>
      <c r="B260" s="3" t="s">
        <v>455</v>
      </c>
      <c r="C260" s="3" t="s">
        <v>1254</v>
      </c>
      <c r="D260" s="3" t="s">
        <v>1255</v>
      </c>
      <c r="E260" s="3" t="s">
        <v>1256</v>
      </c>
      <c r="F260" s="79">
        <v>344</v>
      </c>
      <c r="G260" s="3" t="s">
        <v>1221</v>
      </c>
      <c r="H260" s="3" t="s">
        <v>1551</v>
      </c>
      <c r="I260" s="3"/>
      <c r="J260" s="3" t="s">
        <v>1224</v>
      </c>
      <c r="K260" s="3" t="s">
        <v>1246</v>
      </c>
      <c r="L260" s="3" t="s">
        <v>1247</v>
      </c>
      <c r="M260" s="3" t="s">
        <v>1248</v>
      </c>
      <c r="N260" s="3" t="s">
        <v>1555</v>
      </c>
    </row>
    <row r="261" spans="1:14" x14ac:dyDescent="0.45">
      <c r="A261" s="3" t="s">
        <v>454</v>
      </c>
      <c r="B261" s="3" t="s">
        <v>455</v>
      </c>
      <c r="C261" s="3" t="s">
        <v>1258</v>
      </c>
      <c r="D261" s="3" t="s">
        <v>1230</v>
      </c>
      <c r="E261" s="3" t="s">
        <v>1259</v>
      </c>
      <c r="F261" s="79">
        <v>110</v>
      </c>
      <c r="G261" s="3" t="s">
        <v>1221</v>
      </c>
      <c r="H261" s="3" t="s">
        <v>1551</v>
      </c>
      <c r="I261" s="3"/>
      <c r="J261" s="3" t="s">
        <v>1260</v>
      </c>
      <c r="K261" s="3" t="s">
        <v>1261</v>
      </c>
      <c r="L261" s="3" t="s">
        <v>1262</v>
      </c>
      <c r="M261" s="3" t="s">
        <v>1263</v>
      </c>
      <c r="N261" s="3" t="s">
        <v>1556</v>
      </c>
    </row>
    <row r="262" spans="1:14" x14ac:dyDescent="0.45">
      <c r="A262" s="3" t="s">
        <v>454</v>
      </c>
      <c r="B262" s="3" t="s">
        <v>455</v>
      </c>
      <c r="C262" s="3" t="s">
        <v>1265</v>
      </c>
      <c r="D262" s="3" t="s">
        <v>1237</v>
      </c>
      <c r="E262" s="3" t="s">
        <v>1266</v>
      </c>
      <c r="F262" s="79">
        <v>57</v>
      </c>
      <c r="G262" s="3" t="s">
        <v>1221</v>
      </c>
      <c r="H262" s="3" t="s">
        <v>1551</v>
      </c>
      <c r="I262" s="3"/>
      <c r="J262" s="3" t="s">
        <v>1260</v>
      </c>
      <c r="K262" s="3" t="s">
        <v>1267</v>
      </c>
      <c r="L262" s="3" t="s">
        <v>1268</v>
      </c>
      <c r="M262" s="3" t="s">
        <v>1269</v>
      </c>
      <c r="N262" s="3" t="s">
        <v>1557</v>
      </c>
    </row>
    <row r="263" spans="1:14" x14ac:dyDescent="0.45">
      <c r="A263" s="3" t="s">
        <v>454</v>
      </c>
      <c r="B263" s="3" t="s">
        <v>455</v>
      </c>
      <c r="C263" s="3" t="s">
        <v>1271</v>
      </c>
      <c r="D263" s="3" t="s">
        <v>1272</v>
      </c>
      <c r="E263" s="3" t="s">
        <v>1273</v>
      </c>
      <c r="F263" s="79">
        <v>68</v>
      </c>
      <c r="G263" s="3" t="s">
        <v>1221</v>
      </c>
      <c r="H263" s="3" t="s">
        <v>1551</v>
      </c>
      <c r="I263" s="3"/>
      <c r="J263" s="3" t="s">
        <v>1260</v>
      </c>
      <c r="K263" s="3" t="s">
        <v>1274</v>
      </c>
      <c r="L263" s="3" t="s">
        <v>1275</v>
      </c>
      <c r="M263" s="3" t="s">
        <v>1276</v>
      </c>
      <c r="N263" s="3" t="s">
        <v>1558</v>
      </c>
    </row>
    <row r="264" spans="1:14" x14ac:dyDescent="0.45">
      <c r="A264" s="3" t="s">
        <v>454</v>
      </c>
      <c r="B264" s="3" t="s">
        <v>455</v>
      </c>
      <c r="C264" s="3" t="s">
        <v>1278</v>
      </c>
      <c r="D264" s="3" t="s">
        <v>1279</v>
      </c>
      <c r="E264" s="3" t="s">
        <v>1280</v>
      </c>
      <c r="F264" s="79">
        <v>78</v>
      </c>
      <c r="G264" s="3" t="s">
        <v>1221</v>
      </c>
      <c r="H264" s="3" t="s">
        <v>1551</v>
      </c>
      <c r="I264" s="3"/>
      <c r="J264" s="3" t="s">
        <v>1260</v>
      </c>
      <c r="K264" s="3" t="s">
        <v>1281</v>
      </c>
      <c r="L264" s="3" t="s">
        <v>1282</v>
      </c>
      <c r="M264" s="3" t="s">
        <v>1283</v>
      </c>
      <c r="N264" s="3" t="s">
        <v>1559</v>
      </c>
    </row>
    <row r="265" spans="1:14" x14ac:dyDescent="0.45">
      <c r="A265" s="3" t="s">
        <v>454</v>
      </c>
      <c r="B265" s="3" t="s">
        <v>455</v>
      </c>
      <c r="C265" s="3" t="s">
        <v>1285</v>
      </c>
      <c r="D265" s="3" t="s">
        <v>1237</v>
      </c>
      <c r="E265" s="3" t="s">
        <v>1280</v>
      </c>
      <c r="F265" s="79">
        <v>203</v>
      </c>
      <c r="G265" s="3" t="s">
        <v>1221</v>
      </c>
      <c r="H265" s="3" t="s">
        <v>1551</v>
      </c>
      <c r="I265" s="3"/>
      <c r="J265" s="3" t="s">
        <v>1260</v>
      </c>
      <c r="K265" s="3" t="s">
        <v>1281</v>
      </c>
      <c r="L265" s="3" t="s">
        <v>1282</v>
      </c>
      <c r="M265" s="3" t="s">
        <v>1283</v>
      </c>
      <c r="N265" s="3" t="s">
        <v>1541</v>
      </c>
    </row>
    <row r="266" spans="1:14" x14ac:dyDescent="0.45">
      <c r="A266" s="3" t="s">
        <v>454</v>
      </c>
      <c r="B266" s="3" t="s">
        <v>455</v>
      </c>
      <c r="C266" s="3" t="s">
        <v>1287</v>
      </c>
      <c r="D266" s="3" t="s">
        <v>1244</v>
      </c>
      <c r="E266" s="3" t="s">
        <v>1288</v>
      </c>
      <c r="F266" s="79">
        <v>82</v>
      </c>
      <c r="G266" s="3" t="s">
        <v>1221</v>
      </c>
      <c r="H266" s="3" t="s">
        <v>1551</v>
      </c>
      <c r="I266" s="3"/>
      <c r="J266" s="3" t="s">
        <v>1260</v>
      </c>
      <c r="K266" s="3" t="s">
        <v>1289</v>
      </c>
      <c r="L266" s="3" t="s">
        <v>1290</v>
      </c>
      <c r="M266" s="3" t="s">
        <v>1291</v>
      </c>
      <c r="N266" s="3" t="s">
        <v>1560</v>
      </c>
    </row>
    <row r="267" spans="1:14" x14ac:dyDescent="0.45">
      <c r="A267" s="3" t="s">
        <v>454</v>
      </c>
      <c r="B267" s="3" t="s">
        <v>455</v>
      </c>
      <c r="C267" s="3" t="s">
        <v>1293</v>
      </c>
      <c r="D267" s="3" t="s">
        <v>1294</v>
      </c>
      <c r="E267" s="3" t="s">
        <v>1295</v>
      </c>
      <c r="F267" s="79">
        <v>96</v>
      </c>
      <c r="G267" s="3" t="s">
        <v>1221</v>
      </c>
      <c r="H267" s="3" t="s">
        <v>1551</v>
      </c>
      <c r="I267" s="3"/>
      <c r="J267" s="3" t="s">
        <v>1260</v>
      </c>
      <c r="K267" s="3" t="s">
        <v>1296</v>
      </c>
      <c r="L267" s="3" t="s">
        <v>1297</v>
      </c>
      <c r="M267" s="3" t="s">
        <v>1298</v>
      </c>
      <c r="N267" s="3" t="s">
        <v>1561</v>
      </c>
    </row>
    <row r="268" spans="1:14" x14ac:dyDescent="0.45">
      <c r="A268" s="3" t="s">
        <v>454</v>
      </c>
      <c r="B268" s="3" t="s">
        <v>455</v>
      </c>
      <c r="C268" s="3" t="s">
        <v>1300</v>
      </c>
      <c r="D268" s="3" t="s">
        <v>1301</v>
      </c>
      <c r="E268" s="3" t="s">
        <v>1302</v>
      </c>
      <c r="F268" s="79">
        <v>98</v>
      </c>
      <c r="G268" s="3" t="s">
        <v>1221</v>
      </c>
      <c r="H268" s="3" t="s">
        <v>1551</v>
      </c>
      <c r="I268" s="3"/>
      <c r="J268" s="3" t="s">
        <v>1260</v>
      </c>
      <c r="K268" s="3" t="s">
        <v>1303</v>
      </c>
      <c r="L268" s="3" t="s">
        <v>1304</v>
      </c>
      <c r="M268" s="3" t="s">
        <v>1305</v>
      </c>
      <c r="N268" s="3" t="s">
        <v>1562</v>
      </c>
    </row>
    <row r="269" spans="1:14" x14ac:dyDescent="0.45">
      <c r="A269" s="3" t="s">
        <v>454</v>
      </c>
      <c r="B269" s="3" t="s">
        <v>455</v>
      </c>
      <c r="C269" s="3" t="s">
        <v>1307</v>
      </c>
      <c r="D269" s="3" t="s">
        <v>1244</v>
      </c>
      <c r="E269" s="3" t="s">
        <v>1302</v>
      </c>
      <c r="F269" s="79">
        <v>276</v>
      </c>
      <c r="G269" s="3" t="s">
        <v>1221</v>
      </c>
      <c r="H269" s="3" t="s">
        <v>1551</v>
      </c>
      <c r="I269" s="3"/>
      <c r="J269" s="3" t="s">
        <v>1260</v>
      </c>
      <c r="K269" s="3" t="s">
        <v>1303</v>
      </c>
      <c r="L269" s="3" t="s">
        <v>1304</v>
      </c>
      <c r="M269" s="3" t="s">
        <v>1305</v>
      </c>
      <c r="N269" s="3" t="s">
        <v>1563</v>
      </c>
    </row>
    <row r="270" spans="1:14" x14ac:dyDescent="0.45">
      <c r="A270" s="3" t="s">
        <v>454</v>
      </c>
      <c r="B270" s="3" t="s">
        <v>455</v>
      </c>
      <c r="C270" s="3" t="s">
        <v>1309</v>
      </c>
      <c r="D270" s="3" t="s">
        <v>1251</v>
      </c>
      <c r="E270" s="3" t="s">
        <v>1310</v>
      </c>
      <c r="F270" s="79">
        <v>74</v>
      </c>
      <c r="G270" s="3" t="s">
        <v>1221</v>
      </c>
      <c r="H270" s="3" t="s">
        <v>1551</v>
      </c>
      <c r="I270" s="3"/>
      <c r="J270" s="3" t="s">
        <v>1260</v>
      </c>
      <c r="K270" s="3" t="s">
        <v>1311</v>
      </c>
      <c r="L270" s="3" t="s">
        <v>1312</v>
      </c>
      <c r="M270" s="3" t="s">
        <v>1313</v>
      </c>
      <c r="N270" s="3" t="s">
        <v>1540</v>
      </c>
    </row>
    <row r="271" spans="1:14" x14ac:dyDescent="0.45">
      <c r="A271" s="3" t="s">
        <v>454</v>
      </c>
      <c r="B271" s="3" t="s">
        <v>455</v>
      </c>
      <c r="C271" s="3" t="s">
        <v>1315</v>
      </c>
      <c r="D271" s="3" t="s">
        <v>1316</v>
      </c>
      <c r="E271" s="3" t="s">
        <v>1317</v>
      </c>
      <c r="F271" s="79">
        <v>75</v>
      </c>
      <c r="G271" s="3" t="s">
        <v>1221</v>
      </c>
      <c r="H271" s="3" t="s">
        <v>1551</v>
      </c>
      <c r="I271" s="3"/>
      <c r="J271" s="3" t="s">
        <v>1260</v>
      </c>
      <c r="K271" s="3" t="s">
        <v>1318</v>
      </c>
      <c r="L271" s="3" t="s">
        <v>1319</v>
      </c>
      <c r="M271" s="3" t="s">
        <v>1320</v>
      </c>
      <c r="N271" s="3" t="s">
        <v>1564</v>
      </c>
    </row>
    <row r="272" spans="1:14" x14ac:dyDescent="0.45">
      <c r="A272" s="3" t="s">
        <v>454</v>
      </c>
      <c r="B272" s="3" t="s">
        <v>455</v>
      </c>
      <c r="C272" s="3" t="s">
        <v>1322</v>
      </c>
      <c r="D272" s="3" t="s">
        <v>1323</v>
      </c>
      <c r="E272" s="3" t="s">
        <v>1324</v>
      </c>
      <c r="F272" s="79">
        <v>80</v>
      </c>
      <c r="G272" s="3" t="s">
        <v>1221</v>
      </c>
      <c r="H272" s="3" t="s">
        <v>1551</v>
      </c>
      <c r="I272" s="3"/>
      <c r="J272" s="3" t="s">
        <v>1260</v>
      </c>
      <c r="K272" s="3" t="s">
        <v>1325</v>
      </c>
      <c r="L272" s="3" t="s">
        <v>1326</v>
      </c>
      <c r="M272" s="3" t="s">
        <v>1327</v>
      </c>
      <c r="N272" s="3" t="s">
        <v>1565</v>
      </c>
    </row>
    <row r="273" spans="1:14" x14ac:dyDescent="0.45">
      <c r="A273" s="3" t="s">
        <v>454</v>
      </c>
      <c r="B273" s="3" t="s">
        <v>455</v>
      </c>
      <c r="C273" s="3" t="s">
        <v>1329</v>
      </c>
      <c r="D273" s="3" t="s">
        <v>1251</v>
      </c>
      <c r="E273" s="3" t="s">
        <v>1324</v>
      </c>
      <c r="F273" s="79">
        <v>229</v>
      </c>
      <c r="G273" s="3" t="s">
        <v>1221</v>
      </c>
      <c r="H273" s="3" t="s">
        <v>1551</v>
      </c>
      <c r="I273" s="3"/>
      <c r="J273" s="3" t="s">
        <v>1260</v>
      </c>
      <c r="K273" s="3" t="s">
        <v>1325</v>
      </c>
      <c r="L273" s="3" t="s">
        <v>1326</v>
      </c>
      <c r="M273" s="3" t="s">
        <v>1327</v>
      </c>
      <c r="N273" s="3" t="s">
        <v>1566</v>
      </c>
    </row>
    <row r="274" spans="1:14" x14ac:dyDescent="0.45">
      <c r="A274" s="3" t="s">
        <v>454</v>
      </c>
      <c r="B274" s="3" t="s">
        <v>455</v>
      </c>
      <c r="C274" s="3" t="s">
        <v>1331</v>
      </c>
      <c r="D274" s="3" t="s">
        <v>1255</v>
      </c>
      <c r="E274" s="3" t="s">
        <v>1332</v>
      </c>
      <c r="F274" s="79">
        <v>79</v>
      </c>
      <c r="G274" s="3" t="s">
        <v>1221</v>
      </c>
      <c r="H274" s="3" t="s">
        <v>1551</v>
      </c>
      <c r="I274" s="3"/>
      <c r="J274" s="3" t="s">
        <v>1260</v>
      </c>
      <c r="K274" s="3" t="s">
        <v>1333</v>
      </c>
      <c r="L274" s="3" t="s">
        <v>1334</v>
      </c>
      <c r="M274" s="3" t="s">
        <v>1335</v>
      </c>
      <c r="N274" s="3" t="s">
        <v>1567</v>
      </c>
    </row>
    <row r="275" spans="1:14" x14ac:dyDescent="0.45">
      <c r="A275" s="3" t="s">
        <v>454</v>
      </c>
      <c r="B275" s="3" t="s">
        <v>455</v>
      </c>
      <c r="C275" s="3" t="s">
        <v>1337</v>
      </c>
      <c r="D275" s="3" t="s">
        <v>1338</v>
      </c>
      <c r="E275" s="3" t="s">
        <v>1339</v>
      </c>
      <c r="F275" s="79">
        <v>79</v>
      </c>
      <c r="G275" s="3" t="s">
        <v>1221</v>
      </c>
      <c r="H275" s="3" t="s">
        <v>1551</v>
      </c>
      <c r="I275" s="3"/>
      <c r="J275" s="3" t="s">
        <v>1260</v>
      </c>
      <c r="K275" s="3" t="s">
        <v>1340</v>
      </c>
      <c r="L275" s="3" t="s">
        <v>1341</v>
      </c>
      <c r="M275" s="3" t="s">
        <v>1342</v>
      </c>
      <c r="N275" s="3" t="s">
        <v>1567</v>
      </c>
    </row>
    <row r="276" spans="1:14" x14ac:dyDescent="0.45">
      <c r="A276" s="3" t="s">
        <v>454</v>
      </c>
      <c r="B276" s="3" t="s">
        <v>455</v>
      </c>
      <c r="C276" s="3" t="s">
        <v>1344</v>
      </c>
      <c r="D276" s="3" t="s">
        <v>1345</v>
      </c>
      <c r="E276" s="3" t="s">
        <v>1346</v>
      </c>
      <c r="F276" s="79">
        <v>102</v>
      </c>
      <c r="G276" s="3" t="s">
        <v>1221</v>
      </c>
      <c r="H276" s="3" t="s">
        <v>1551</v>
      </c>
      <c r="I276" s="3"/>
      <c r="J276" s="3" t="s">
        <v>1260</v>
      </c>
      <c r="K276" s="3" t="s">
        <v>1325</v>
      </c>
      <c r="L276" s="3" t="s">
        <v>1326</v>
      </c>
      <c r="M276" s="3" t="s">
        <v>1327</v>
      </c>
      <c r="N276" s="3" t="s">
        <v>1548</v>
      </c>
    </row>
    <row r="277" spans="1:14" x14ac:dyDescent="0.45">
      <c r="A277" s="3" t="s">
        <v>454</v>
      </c>
      <c r="B277" s="3" t="s">
        <v>455</v>
      </c>
      <c r="C277" s="3" t="s">
        <v>1348</v>
      </c>
      <c r="D277" s="3" t="s">
        <v>1255</v>
      </c>
      <c r="E277" s="3" t="s">
        <v>1346</v>
      </c>
      <c r="F277" s="79">
        <v>260</v>
      </c>
      <c r="G277" s="3" t="s">
        <v>1221</v>
      </c>
      <c r="H277" s="3" t="s">
        <v>1551</v>
      </c>
      <c r="I277" s="3"/>
      <c r="J277" s="3" t="s">
        <v>1260</v>
      </c>
      <c r="K277" s="3" t="s">
        <v>1325</v>
      </c>
      <c r="L277" s="3" t="s">
        <v>1326</v>
      </c>
      <c r="M277" s="3" t="s">
        <v>1327</v>
      </c>
      <c r="N277" s="3" t="s">
        <v>1568</v>
      </c>
    </row>
    <row r="278" spans="1:14" x14ac:dyDescent="0.45">
      <c r="A278" s="3" t="s">
        <v>454</v>
      </c>
      <c r="B278" s="3" t="s">
        <v>455</v>
      </c>
      <c r="C278" s="3" t="s">
        <v>1350</v>
      </c>
      <c r="D278" s="3" t="s">
        <v>1351</v>
      </c>
      <c r="E278" s="3" t="s">
        <v>1352</v>
      </c>
      <c r="F278" s="79">
        <v>84</v>
      </c>
      <c r="G278" s="3" t="s">
        <v>1221</v>
      </c>
      <c r="H278" s="3" t="s">
        <v>1551</v>
      </c>
      <c r="I278" s="3"/>
      <c r="J278" s="3" t="s">
        <v>1260</v>
      </c>
      <c r="K278" s="3" t="s">
        <v>1333</v>
      </c>
      <c r="L278" s="3" t="s">
        <v>1334</v>
      </c>
      <c r="M278" s="3" t="s">
        <v>1335</v>
      </c>
      <c r="N278" s="3" t="s">
        <v>1521</v>
      </c>
    </row>
    <row r="279" spans="1:14" x14ac:dyDescent="0.45">
      <c r="A279" s="3" t="s">
        <v>454</v>
      </c>
      <c r="B279" s="3" t="s">
        <v>455</v>
      </c>
      <c r="C279" s="3" t="s">
        <v>1354</v>
      </c>
      <c r="D279" s="3" t="s">
        <v>1355</v>
      </c>
      <c r="E279" s="3" t="s">
        <v>1356</v>
      </c>
      <c r="F279" s="79">
        <v>89</v>
      </c>
      <c r="G279" s="3" t="s">
        <v>1221</v>
      </c>
      <c r="H279" s="3" t="s">
        <v>1551</v>
      </c>
      <c r="I279" s="3"/>
      <c r="J279" s="3" t="s">
        <v>1260</v>
      </c>
      <c r="K279" s="3" t="s">
        <v>1340</v>
      </c>
      <c r="L279" s="3" t="s">
        <v>1341</v>
      </c>
      <c r="M279" s="3" t="s">
        <v>1342</v>
      </c>
      <c r="N279" s="3" t="s">
        <v>1494</v>
      </c>
    </row>
    <row r="280" spans="1:14" x14ac:dyDescent="0.45">
      <c r="A280" s="3" t="s">
        <v>456</v>
      </c>
      <c r="B280" s="3" t="s">
        <v>1569</v>
      </c>
      <c r="C280" s="3" t="s">
        <v>1236</v>
      </c>
      <c r="D280" s="3" t="s">
        <v>1237</v>
      </c>
      <c r="E280" s="3" t="s">
        <v>1238</v>
      </c>
      <c r="F280" s="79">
        <v>0</v>
      </c>
      <c r="G280" s="3" t="s">
        <v>1221</v>
      </c>
      <c r="H280" s="3" t="s">
        <v>1570</v>
      </c>
      <c r="I280" s="3"/>
      <c r="J280" s="3" t="s">
        <v>1224</v>
      </c>
      <c r="K280" s="3" t="s">
        <v>1239</v>
      </c>
      <c r="L280" s="3" t="s">
        <v>1240</v>
      </c>
      <c r="M280" s="3" t="s">
        <v>1241</v>
      </c>
      <c r="N280" s="3" t="s">
        <v>1571</v>
      </c>
    </row>
    <row r="281" spans="1:14" x14ac:dyDescent="0.45">
      <c r="A281" s="3" t="s">
        <v>456</v>
      </c>
      <c r="B281" s="3" t="s">
        <v>1569</v>
      </c>
      <c r="C281" s="3" t="s">
        <v>1243</v>
      </c>
      <c r="D281" s="3" t="s">
        <v>1244</v>
      </c>
      <c r="E281" s="3" t="s">
        <v>1245</v>
      </c>
      <c r="F281" s="79">
        <v>0</v>
      </c>
      <c r="G281" s="3" t="s">
        <v>1221</v>
      </c>
      <c r="H281" s="3" t="s">
        <v>1570</v>
      </c>
      <c r="I281" s="3"/>
      <c r="J281" s="3" t="s">
        <v>1224</v>
      </c>
      <c r="K281" s="3" t="s">
        <v>1246</v>
      </c>
      <c r="L281" s="3" t="s">
        <v>1247</v>
      </c>
      <c r="M281" s="3" t="s">
        <v>1248</v>
      </c>
      <c r="N281" s="3" t="s">
        <v>1571</v>
      </c>
    </row>
    <row r="282" spans="1:14" x14ac:dyDescent="0.45">
      <c r="A282" s="3" t="s">
        <v>456</v>
      </c>
      <c r="B282" s="3" t="s">
        <v>1569</v>
      </c>
      <c r="C282" s="3" t="s">
        <v>1250</v>
      </c>
      <c r="D282" s="3" t="s">
        <v>1251</v>
      </c>
      <c r="E282" s="3" t="s">
        <v>1252</v>
      </c>
      <c r="F282" s="79">
        <v>46</v>
      </c>
      <c r="G282" s="3" t="s">
        <v>1221</v>
      </c>
      <c r="H282" s="3" t="s">
        <v>1570</v>
      </c>
      <c r="I282" s="3"/>
      <c r="J282" s="3" t="s">
        <v>1224</v>
      </c>
      <c r="K282" s="3" t="s">
        <v>1246</v>
      </c>
      <c r="L282" s="3" t="s">
        <v>1247</v>
      </c>
      <c r="M282" s="3" t="s">
        <v>1248</v>
      </c>
      <c r="N282" s="3" t="s">
        <v>1572</v>
      </c>
    </row>
    <row r="283" spans="1:14" x14ac:dyDescent="0.45">
      <c r="A283" s="3" t="s">
        <v>456</v>
      </c>
      <c r="B283" s="3" t="s">
        <v>1569</v>
      </c>
      <c r="C283" s="3" t="s">
        <v>1254</v>
      </c>
      <c r="D283" s="3" t="s">
        <v>1255</v>
      </c>
      <c r="E283" s="3" t="s">
        <v>1256</v>
      </c>
      <c r="F283" s="79">
        <v>12</v>
      </c>
      <c r="G283" s="3" t="s">
        <v>1221</v>
      </c>
      <c r="H283" s="3" t="s">
        <v>1570</v>
      </c>
      <c r="I283" s="3"/>
      <c r="J283" s="3" t="s">
        <v>1224</v>
      </c>
      <c r="K283" s="3" t="s">
        <v>1246</v>
      </c>
      <c r="L283" s="3" t="s">
        <v>1247</v>
      </c>
      <c r="M283" s="3" t="s">
        <v>1248</v>
      </c>
      <c r="N283" s="3" t="s">
        <v>1573</v>
      </c>
    </row>
    <row r="284" spans="1:14" x14ac:dyDescent="0.45">
      <c r="A284" s="3" t="s">
        <v>456</v>
      </c>
      <c r="B284" s="3" t="s">
        <v>1569</v>
      </c>
      <c r="C284" s="3" t="s">
        <v>1287</v>
      </c>
      <c r="D284" s="3" t="s">
        <v>1244</v>
      </c>
      <c r="E284" s="3" t="s">
        <v>1288</v>
      </c>
      <c r="F284" s="79">
        <v>0</v>
      </c>
      <c r="G284" s="3" t="s">
        <v>1221</v>
      </c>
      <c r="H284" s="3" t="s">
        <v>1570</v>
      </c>
      <c r="I284" s="3"/>
      <c r="J284" s="3" t="s">
        <v>1260</v>
      </c>
      <c r="K284" s="3" t="s">
        <v>1289</v>
      </c>
      <c r="L284" s="3" t="s">
        <v>1290</v>
      </c>
      <c r="M284" s="3" t="s">
        <v>1291</v>
      </c>
      <c r="N284" s="3" t="s">
        <v>1571</v>
      </c>
    </row>
    <row r="285" spans="1:14" x14ac:dyDescent="0.45">
      <c r="A285" s="3" t="s">
        <v>456</v>
      </c>
      <c r="B285" s="3" t="s">
        <v>1569</v>
      </c>
      <c r="C285" s="3" t="s">
        <v>1293</v>
      </c>
      <c r="D285" s="3" t="s">
        <v>1294</v>
      </c>
      <c r="E285" s="3" t="s">
        <v>1295</v>
      </c>
      <c r="F285" s="79">
        <v>0</v>
      </c>
      <c r="G285" s="3" t="s">
        <v>1221</v>
      </c>
      <c r="H285" s="3" t="s">
        <v>1570</v>
      </c>
      <c r="I285" s="3"/>
      <c r="J285" s="3" t="s">
        <v>1260</v>
      </c>
      <c r="K285" s="3" t="s">
        <v>1296</v>
      </c>
      <c r="L285" s="3" t="s">
        <v>1297</v>
      </c>
      <c r="M285" s="3" t="s">
        <v>1298</v>
      </c>
      <c r="N285" s="3" t="s">
        <v>1571</v>
      </c>
    </row>
    <row r="286" spans="1:14" x14ac:dyDescent="0.45">
      <c r="A286" s="3" t="s">
        <v>456</v>
      </c>
      <c r="B286" s="3" t="s">
        <v>1569</v>
      </c>
      <c r="C286" s="3" t="s">
        <v>1300</v>
      </c>
      <c r="D286" s="3" t="s">
        <v>1301</v>
      </c>
      <c r="E286" s="3" t="s">
        <v>1302</v>
      </c>
      <c r="F286" s="79">
        <v>0</v>
      </c>
      <c r="G286" s="3" t="s">
        <v>1221</v>
      </c>
      <c r="H286" s="3" t="s">
        <v>1570</v>
      </c>
      <c r="I286" s="3"/>
      <c r="J286" s="3" t="s">
        <v>1260</v>
      </c>
      <c r="K286" s="3" t="s">
        <v>1303</v>
      </c>
      <c r="L286" s="3" t="s">
        <v>1304</v>
      </c>
      <c r="M286" s="3" t="s">
        <v>1305</v>
      </c>
      <c r="N286" s="3" t="s">
        <v>1571</v>
      </c>
    </row>
    <row r="287" spans="1:14" x14ac:dyDescent="0.45">
      <c r="A287" s="3" t="s">
        <v>456</v>
      </c>
      <c r="B287" s="3" t="s">
        <v>1569</v>
      </c>
      <c r="C287" s="3" t="s">
        <v>1307</v>
      </c>
      <c r="D287" s="3" t="s">
        <v>1244</v>
      </c>
      <c r="E287" s="3" t="s">
        <v>1302</v>
      </c>
      <c r="F287" s="79">
        <v>0</v>
      </c>
      <c r="G287" s="3" t="s">
        <v>1221</v>
      </c>
      <c r="H287" s="3" t="s">
        <v>1570</v>
      </c>
      <c r="I287" s="3"/>
      <c r="J287" s="3" t="s">
        <v>1260</v>
      </c>
      <c r="K287" s="3" t="s">
        <v>1303</v>
      </c>
      <c r="L287" s="3" t="s">
        <v>1304</v>
      </c>
      <c r="M287" s="3" t="s">
        <v>1305</v>
      </c>
      <c r="N287" s="3" t="s">
        <v>1571</v>
      </c>
    </row>
    <row r="288" spans="1:14" x14ac:dyDescent="0.45">
      <c r="A288" s="3" t="s">
        <v>456</v>
      </c>
      <c r="B288" s="3" t="s">
        <v>1569</v>
      </c>
      <c r="C288" s="3" t="s">
        <v>1309</v>
      </c>
      <c r="D288" s="3" t="s">
        <v>1251</v>
      </c>
      <c r="E288" s="3" t="s">
        <v>1310</v>
      </c>
      <c r="F288" s="79">
        <v>41</v>
      </c>
      <c r="G288" s="3" t="s">
        <v>1221</v>
      </c>
      <c r="H288" s="3" t="s">
        <v>1570</v>
      </c>
      <c r="I288" s="3"/>
      <c r="J288" s="3" t="s">
        <v>1260</v>
      </c>
      <c r="K288" s="3" t="s">
        <v>1311</v>
      </c>
      <c r="L288" s="3" t="s">
        <v>1312</v>
      </c>
      <c r="M288" s="3" t="s">
        <v>1313</v>
      </c>
      <c r="N288" s="3" t="s">
        <v>1415</v>
      </c>
    </row>
    <row r="289" spans="1:14" x14ac:dyDescent="0.45">
      <c r="A289" s="3" t="s">
        <v>456</v>
      </c>
      <c r="B289" s="3" t="s">
        <v>1569</v>
      </c>
      <c r="C289" s="3" t="s">
        <v>1315</v>
      </c>
      <c r="D289" s="3" t="s">
        <v>1316</v>
      </c>
      <c r="E289" s="3" t="s">
        <v>1317</v>
      </c>
      <c r="F289" s="79">
        <v>4</v>
      </c>
      <c r="G289" s="3" t="s">
        <v>1221</v>
      </c>
      <c r="H289" s="3" t="s">
        <v>1570</v>
      </c>
      <c r="I289" s="3"/>
      <c r="J289" s="3" t="s">
        <v>1260</v>
      </c>
      <c r="K289" s="3" t="s">
        <v>1318</v>
      </c>
      <c r="L289" s="3" t="s">
        <v>1319</v>
      </c>
      <c r="M289" s="3" t="s">
        <v>1320</v>
      </c>
      <c r="N289" s="3" t="s">
        <v>1459</v>
      </c>
    </row>
    <row r="290" spans="1:14" x14ac:dyDescent="0.45">
      <c r="A290" s="3" t="s">
        <v>456</v>
      </c>
      <c r="B290" s="3" t="s">
        <v>1569</v>
      </c>
      <c r="C290" s="3" t="s">
        <v>1322</v>
      </c>
      <c r="D290" s="3" t="s">
        <v>1323</v>
      </c>
      <c r="E290" s="3" t="s">
        <v>1324</v>
      </c>
      <c r="F290" s="79">
        <v>0</v>
      </c>
      <c r="G290" s="3" t="s">
        <v>1221</v>
      </c>
      <c r="H290" s="3" t="s">
        <v>1570</v>
      </c>
      <c r="I290" s="3"/>
      <c r="J290" s="3" t="s">
        <v>1260</v>
      </c>
      <c r="K290" s="3" t="s">
        <v>1325</v>
      </c>
      <c r="L290" s="3" t="s">
        <v>1326</v>
      </c>
      <c r="M290" s="3" t="s">
        <v>1327</v>
      </c>
      <c r="N290" s="3" t="s">
        <v>1571</v>
      </c>
    </row>
    <row r="291" spans="1:14" x14ac:dyDescent="0.45">
      <c r="A291" s="3" t="s">
        <v>456</v>
      </c>
      <c r="B291" s="3" t="s">
        <v>1569</v>
      </c>
      <c r="C291" s="3" t="s">
        <v>1329</v>
      </c>
      <c r="D291" s="3" t="s">
        <v>1251</v>
      </c>
      <c r="E291" s="3" t="s">
        <v>1324</v>
      </c>
      <c r="F291" s="79">
        <v>46</v>
      </c>
      <c r="G291" s="3" t="s">
        <v>1221</v>
      </c>
      <c r="H291" s="3" t="s">
        <v>1570</v>
      </c>
      <c r="I291" s="3"/>
      <c r="J291" s="3" t="s">
        <v>1260</v>
      </c>
      <c r="K291" s="3" t="s">
        <v>1325</v>
      </c>
      <c r="L291" s="3" t="s">
        <v>1326</v>
      </c>
      <c r="M291" s="3" t="s">
        <v>1327</v>
      </c>
      <c r="N291" s="3" t="s">
        <v>1572</v>
      </c>
    </row>
    <row r="292" spans="1:14" x14ac:dyDescent="0.45">
      <c r="A292" s="3" t="s">
        <v>456</v>
      </c>
      <c r="B292" s="3" t="s">
        <v>1569</v>
      </c>
      <c r="C292" s="3" t="s">
        <v>1331</v>
      </c>
      <c r="D292" s="3" t="s">
        <v>1255</v>
      </c>
      <c r="E292" s="3" t="s">
        <v>1332</v>
      </c>
      <c r="F292" s="79">
        <v>7</v>
      </c>
      <c r="G292" s="3" t="s">
        <v>1221</v>
      </c>
      <c r="H292" s="3" t="s">
        <v>1570</v>
      </c>
      <c r="I292" s="3"/>
      <c r="J292" s="3" t="s">
        <v>1260</v>
      </c>
      <c r="K292" s="3" t="s">
        <v>1333</v>
      </c>
      <c r="L292" s="3" t="s">
        <v>1334</v>
      </c>
      <c r="M292" s="3" t="s">
        <v>1335</v>
      </c>
      <c r="N292" s="3" t="s">
        <v>1574</v>
      </c>
    </row>
    <row r="293" spans="1:14" x14ac:dyDescent="0.45">
      <c r="A293" s="3" t="s">
        <v>456</v>
      </c>
      <c r="B293" s="3" t="s">
        <v>1569</v>
      </c>
      <c r="C293" s="3" t="s">
        <v>1337</v>
      </c>
      <c r="D293" s="3" t="s">
        <v>1338</v>
      </c>
      <c r="E293" s="3" t="s">
        <v>1339</v>
      </c>
      <c r="F293" s="79">
        <v>1</v>
      </c>
      <c r="G293" s="3" t="s">
        <v>1221</v>
      </c>
      <c r="H293" s="3" t="s">
        <v>1570</v>
      </c>
      <c r="I293" s="3"/>
      <c r="J293" s="3" t="s">
        <v>1260</v>
      </c>
      <c r="K293" s="3" t="s">
        <v>1340</v>
      </c>
      <c r="L293" s="3" t="s">
        <v>1341</v>
      </c>
      <c r="M293" s="3" t="s">
        <v>1342</v>
      </c>
      <c r="N293" s="3" t="s">
        <v>1462</v>
      </c>
    </row>
    <row r="294" spans="1:14" x14ac:dyDescent="0.45">
      <c r="A294" s="3" t="s">
        <v>456</v>
      </c>
      <c r="B294" s="3" t="s">
        <v>1569</v>
      </c>
      <c r="C294" s="3" t="s">
        <v>1344</v>
      </c>
      <c r="D294" s="3" t="s">
        <v>1345</v>
      </c>
      <c r="E294" s="3" t="s">
        <v>1346</v>
      </c>
      <c r="F294" s="79">
        <v>0</v>
      </c>
      <c r="G294" s="3" t="s">
        <v>1221</v>
      </c>
      <c r="H294" s="3" t="s">
        <v>1570</v>
      </c>
      <c r="I294" s="3"/>
      <c r="J294" s="3" t="s">
        <v>1260</v>
      </c>
      <c r="K294" s="3" t="s">
        <v>1325</v>
      </c>
      <c r="L294" s="3" t="s">
        <v>1326</v>
      </c>
      <c r="M294" s="3" t="s">
        <v>1327</v>
      </c>
      <c r="N294" s="3" t="s">
        <v>1571</v>
      </c>
    </row>
    <row r="295" spans="1:14" x14ac:dyDescent="0.45">
      <c r="A295" s="3" t="s">
        <v>456</v>
      </c>
      <c r="B295" s="3" t="s">
        <v>1569</v>
      </c>
      <c r="C295" s="3" t="s">
        <v>1348</v>
      </c>
      <c r="D295" s="3" t="s">
        <v>1255</v>
      </c>
      <c r="E295" s="3" t="s">
        <v>1346</v>
      </c>
      <c r="F295" s="79">
        <v>8</v>
      </c>
      <c r="G295" s="3" t="s">
        <v>1221</v>
      </c>
      <c r="H295" s="3" t="s">
        <v>1570</v>
      </c>
      <c r="I295" s="3"/>
      <c r="J295" s="3" t="s">
        <v>1260</v>
      </c>
      <c r="K295" s="3" t="s">
        <v>1325</v>
      </c>
      <c r="L295" s="3" t="s">
        <v>1326</v>
      </c>
      <c r="M295" s="3" t="s">
        <v>1327</v>
      </c>
      <c r="N295" s="3" t="s">
        <v>1575</v>
      </c>
    </row>
    <row r="296" spans="1:14" x14ac:dyDescent="0.45">
      <c r="A296" s="3" t="s">
        <v>456</v>
      </c>
      <c r="B296" s="3" t="s">
        <v>1569</v>
      </c>
      <c r="C296" s="3" t="s">
        <v>1350</v>
      </c>
      <c r="D296" s="3" t="s">
        <v>1351</v>
      </c>
      <c r="E296" s="3" t="s">
        <v>1352</v>
      </c>
      <c r="F296" s="79">
        <v>0</v>
      </c>
      <c r="G296" s="3" t="s">
        <v>1221</v>
      </c>
      <c r="H296" s="3" t="s">
        <v>1570</v>
      </c>
      <c r="I296" s="3"/>
      <c r="J296" s="3" t="s">
        <v>1260</v>
      </c>
      <c r="K296" s="3" t="s">
        <v>1333</v>
      </c>
      <c r="L296" s="3" t="s">
        <v>1334</v>
      </c>
      <c r="M296" s="3" t="s">
        <v>1335</v>
      </c>
      <c r="N296" s="3" t="s">
        <v>1571</v>
      </c>
    </row>
    <row r="297" spans="1:14" x14ac:dyDescent="0.45">
      <c r="A297" s="3" t="s">
        <v>456</v>
      </c>
      <c r="B297" s="3" t="s">
        <v>1569</v>
      </c>
      <c r="C297" s="3" t="s">
        <v>1354</v>
      </c>
      <c r="D297" s="3" t="s">
        <v>1355</v>
      </c>
      <c r="E297" s="3" t="s">
        <v>1356</v>
      </c>
      <c r="F297" s="79">
        <v>0</v>
      </c>
      <c r="G297" s="3" t="s">
        <v>1221</v>
      </c>
      <c r="H297" s="3" t="s">
        <v>1570</v>
      </c>
      <c r="I297" s="3"/>
      <c r="J297" s="3" t="s">
        <v>1260</v>
      </c>
      <c r="K297" s="3" t="s">
        <v>1340</v>
      </c>
      <c r="L297" s="3" t="s">
        <v>1341</v>
      </c>
      <c r="M297" s="3" t="s">
        <v>1342</v>
      </c>
      <c r="N297" s="3" t="s">
        <v>1571</v>
      </c>
    </row>
    <row r="298" spans="1:14" x14ac:dyDescent="0.45">
      <c r="A298" s="3" t="s">
        <v>458</v>
      </c>
      <c r="B298" s="3" t="s">
        <v>459</v>
      </c>
      <c r="C298" s="3" t="s">
        <v>1218</v>
      </c>
      <c r="D298" s="3" t="s">
        <v>1219</v>
      </c>
      <c r="E298" s="3" t="s">
        <v>1220</v>
      </c>
      <c r="F298" s="79">
        <v>360</v>
      </c>
      <c r="G298" s="3" t="s">
        <v>1221</v>
      </c>
      <c r="H298" s="3" t="s">
        <v>1576</v>
      </c>
      <c r="I298" s="3"/>
      <c r="J298" s="3" t="s">
        <v>1224</v>
      </c>
      <c r="K298" s="3" t="s">
        <v>1225</v>
      </c>
      <c r="L298" s="3" t="s">
        <v>1226</v>
      </c>
      <c r="M298" s="3" t="s">
        <v>1227</v>
      </c>
      <c r="N298" s="3" t="s">
        <v>1577</v>
      </c>
    </row>
    <row r="299" spans="1:14" x14ac:dyDescent="0.45">
      <c r="A299" s="3" t="s">
        <v>458</v>
      </c>
      <c r="B299" s="3" t="s">
        <v>459</v>
      </c>
      <c r="C299" s="3" t="s">
        <v>1229</v>
      </c>
      <c r="D299" s="3" t="s">
        <v>1230</v>
      </c>
      <c r="E299" s="3" t="s">
        <v>1231</v>
      </c>
      <c r="F299" s="79">
        <v>542</v>
      </c>
      <c r="G299" s="3" t="s">
        <v>1221</v>
      </c>
      <c r="H299" s="3" t="s">
        <v>1576</v>
      </c>
      <c r="I299" s="3"/>
      <c r="J299" s="3" t="s">
        <v>1224</v>
      </c>
      <c r="K299" s="3" t="s">
        <v>1232</v>
      </c>
      <c r="L299" s="3" t="s">
        <v>1233</v>
      </c>
      <c r="M299" s="3" t="s">
        <v>1234</v>
      </c>
      <c r="N299" s="3" t="s">
        <v>1578</v>
      </c>
    </row>
    <row r="300" spans="1:14" x14ac:dyDescent="0.45">
      <c r="A300" s="3" t="s">
        <v>458</v>
      </c>
      <c r="B300" s="3" t="s">
        <v>459</v>
      </c>
      <c r="C300" s="3" t="s">
        <v>1236</v>
      </c>
      <c r="D300" s="3" t="s">
        <v>1237</v>
      </c>
      <c r="E300" s="3" t="s">
        <v>1238</v>
      </c>
      <c r="F300" s="79">
        <v>895</v>
      </c>
      <c r="G300" s="3" t="s">
        <v>1221</v>
      </c>
      <c r="H300" s="3" t="s">
        <v>1576</v>
      </c>
      <c r="I300" s="3"/>
      <c r="J300" s="3" t="s">
        <v>1224</v>
      </c>
      <c r="K300" s="3" t="s">
        <v>1239</v>
      </c>
      <c r="L300" s="3" t="s">
        <v>1240</v>
      </c>
      <c r="M300" s="3" t="s">
        <v>1241</v>
      </c>
      <c r="N300" s="3" t="s">
        <v>1579</v>
      </c>
    </row>
    <row r="301" spans="1:14" x14ac:dyDescent="0.45">
      <c r="A301" s="3" t="s">
        <v>458</v>
      </c>
      <c r="B301" s="3" t="s">
        <v>459</v>
      </c>
      <c r="C301" s="3" t="s">
        <v>1243</v>
      </c>
      <c r="D301" s="3" t="s">
        <v>1244</v>
      </c>
      <c r="E301" s="3" t="s">
        <v>1245</v>
      </c>
      <c r="F301" s="79">
        <v>1121</v>
      </c>
      <c r="G301" s="3" t="s">
        <v>1221</v>
      </c>
      <c r="H301" s="3" t="s">
        <v>1576</v>
      </c>
      <c r="I301" s="3"/>
      <c r="J301" s="3" t="s">
        <v>1224</v>
      </c>
      <c r="K301" s="3" t="s">
        <v>1246</v>
      </c>
      <c r="L301" s="3" t="s">
        <v>1247</v>
      </c>
      <c r="M301" s="3" t="s">
        <v>1248</v>
      </c>
      <c r="N301" s="3" t="s">
        <v>1580</v>
      </c>
    </row>
    <row r="302" spans="1:14" x14ac:dyDescent="0.45">
      <c r="A302" s="3" t="s">
        <v>458</v>
      </c>
      <c r="B302" s="3" t="s">
        <v>459</v>
      </c>
      <c r="C302" s="3" t="s">
        <v>1250</v>
      </c>
      <c r="D302" s="3" t="s">
        <v>1251</v>
      </c>
      <c r="E302" s="3" t="s">
        <v>1252</v>
      </c>
      <c r="F302" s="79">
        <v>1174</v>
      </c>
      <c r="G302" s="3" t="s">
        <v>1221</v>
      </c>
      <c r="H302" s="3" t="s">
        <v>1576</v>
      </c>
      <c r="I302" s="3"/>
      <c r="J302" s="3" t="s">
        <v>1224</v>
      </c>
      <c r="K302" s="3" t="s">
        <v>1246</v>
      </c>
      <c r="L302" s="3" t="s">
        <v>1247</v>
      </c>
      <c r="M302" s="3" t="s">
        <v>1248</v>
      </c>
      <c r="N302" s="3" t="s">
        <v>1581</v>
      </c>
    </row>
    <row r="303" spans="1:14" x14ac:dyDescent="0.45">
      <c r="A303" s="3" t="s">
        <v>458</v>
      </c>
      <c r="B303" s="3" t="s">
        <v>459</v>
      </c>
      <c r="C303" s="3" t="s">
        <v>1254</v>
      </c>
      <c r="D303" s="3" t="s">
        <v>1255</v>
      </c>
      <c r="E303" s="3" t="s">
        <v>1256</v>
      </c>
      <c r="F303" s="79">
        <v>1301</v>
      </c>
      <c r="G303" s="3" t="s">
        <v>1221</v>
      </c>
      <c r="H303" s="3" t="s">
        <v>1576</v>
      </c>
      <c r="I303" s="3"/>
      <c r="J303" s="3" t="s">
        <v>1224</v>
      </c>
      <c r="K303" s="3" t="s">
        <v>1246</v>
      </c>
      <c r="L303" s="3" t="s">
        <v>1247</v>
      </c>
      <c r="M303" s="3" t="s">
        <v>1248</v>
      </c>
      <c r="N303" s="3" t="s">
        <v>1582</v>
      </c>
    </row>
    <row r="304" spans="1:14" x14ac:dyDescent="0.45">
      <c r="A304" s="3" t="s">
        <v>458</v>
      </c>
      <c r="B304" s="3" t="s">
        <v>459</v>
      </c>
      <c r="C304" s="3" t="s">
        <v>1258</v>
      </c>
      <c r="D304" s="3" t="s">
        <v>1230</v>
      </c>
      <c r="E304" s="3" t="s">
        <v>1259</v>
      </c>
      <c r="F304" s="79">
        <v>353</v>
      </c>
      <c r="G304" s="3" t="s">
        <v>1221</v>
      </c>
      <c r="H304" s="3" t="s">
        <v>1576</v>
      </c>
      <c r="I304" s="3"/>
      <c r="J304" s="3" t="s">
        <v>1260</v>
      </c>
      <c r="K304" s="3" t="s">
        <v>1261</v>
      </c>
      <c r="L304" s="3" t="s">
        <v>1262</v>
      </c>
      <c r="M304" s="3" t="s">
        <v>1263</v>
      </c>
      <c r="N304" s="3" t="s">
        <v>1496</v>
      </c>
    </row>
    <row r="305" spans="1:14" x14ac:dyDescent="0.45">
      <c r="A305" s="3" t="s">
        <v>458</v>
      </c>
      <c r="B305" s="3" t="s">
        <v>459</v>
      </c>
      <c r="C305" s="3" t="s">
        <v>1265</v>
      </c>
      <c r="D305" s="3" t="s">
        <v>1237</v>
      </c>
      <c r="E305" s="3" t="s">
        <v>1266</v>
      </c>
      <c r="F305" s="79">
        <v>190</v>
      </c>
      <c r="G305" s="3" t="s">
        <v>1221</v>
      </c>
      <c r="H305" s="3" t="s">
        <v>1576</v>
      </c>
      <c r="I305" s="3"/>
      <c r="J305" s="3" t="s">
        <v>1260</v>
      </c>
      <c r="K305" s="3" t="s">
        <v>1267</v>
      </c>
      <c r="L305" s="3" t="s">
        <v>1268</v>
      </c>
      <c r="M305" s="3" t="s">
        <v>1269</v>
      </c>
      <c r="N305" s="3" t="s">
        <v>1513</v>
      </c>
    </row>
    <row r="306" spans="1:14" x14ac:dyDescent="0.45">
      <c r="A306" s="3" t="s">
        <v>458</v>
      </c>
      <c r="B306" s="3" t="s">
        <v>459</v>
      </c>
      <c r="C306" s="3" t="s">
        <v>1271</v>
      </c>
      <c r="D306" s="3" t="s">
        <v>1272</v>
      </c>
      <c r="E306" s="3" t="s">
        <v>1273</v>
      </c>
      <c r="F306" s="79">
        <v>212</v>
      </c>
      <c r="G306" s="3" t="s">
        <v>1221</v>
      </c>
      <c r="H306" s="3" t="s">
        <v>1576</v>
      </c>
      <c r="I306" s="3"/>
      <c r="J306" s="3" t="s">
        <v>1260</v>
      </c>
      <c r="K306" s="3" t="s">
        <v>1274</v>
      </c>
      <c r="L306" s="3" t="s">
        <v>1275</v>
      </c>
      <c r="M306" s="3" t="s">
        <v>1276</v>
      </c>
      <c r="N306" s="3" t="s">
        <v>1583</v>
      </c>
    </row>
    <row r="307" spans="1:14" x14ac:dyDescent="0.45">
      <c r="A307" s="3" t="s">
        <v>458</v>
      </c>
      <c r="B307" s="3" t="s">
        <v>459</v>
      </c>
      <c r="C307" s="3" t="s">
        <v>1278</v>
      </c>
      <c r="D307" s="3" t="s">
        <v>1279</v>
      </c>
      <c r="E307" s="3" t="s">
        <v>1280</v>
      </c>
      <c r="F307" s="79">
        <v>236</v>
      </c>
      <c r="G307" s="3" t="s">
        <v>1221</v>
      </c>
      <c r="H307" s="3" t="s">
        <v>1576</v>
      </c>
      <c r="I307" s="3"/>
      <c r="J307" s="3" t="s">
        <v>1260</v>
      </c>
      <c r="K307" s="3" t="s">
        <v>1281</v>
      </c>
      <c r="L307" s="3" t="s">
        <v>1282</v>
      </c>
      <c r="M307" s="3" t="s">
        <v>1283</v>
      </c>
      <c r="N307" s="3" t="s">
        <v>1584</v>
      </c>
    </row>
    <row r="308" spans="1:14" x14ac:dyDescent="0.45">
      <c r="A308" s="3" t="s">
        <v>458</v>
      </c>
      <c r="B308" s="3" t="s">
        <v>459</v>
      </c>
      <c r="C308" s="3" t="s">
        <v>1285</v>
      </c>
      <c r="D308" s="3" t="s">
        <v>1237</v>
      </c>
      <c r="E308" s="3" t="s">
        <v>1280</v>
      </c>
      <c r="F308" s="79">
        <v>638</v>
      </c>
      <c r="G308" s="3" t="s">
        <v>1221</v>
      </c>
      <c r="H308" s="3" t="s">
        <v>1576</v>
      </c>
      <c r="I308" s="3"/>
      <c r="J308" s="3" t="s">
        <v>1260</v>
      </c>
      <c r="K308" s="3" t="s">
        <v>1281</v>
      </c>
      <c r="L308" s="3" t="s">
        <v>1282</v>
      </c>
      <c r="M308" s="3" t="s">
        <v>1283</v>
      </c>
      <c r="N308" s="3" t="s">
        <v>1585</v>
      </c>
    </row>
    <row r="309" spans="1:14" x14ac:dyDescent="0.45">
      <c r="A309" s="3" t="s">
        <v>458</v>
      </c>
      <c r="B309" s="3" t="s">
        <v>459</v>
      </c>
      <c r="C309" s="3" t="s">
        <v>1287</v>
      </c>
      <c r="D309" s="3" t="s">
        <v>1244</v>
      </c>
      <c r="E309" s="3" t="s">
        <v>1288</v>
      </c>
      <c r="F309" s="79">
        <v>266</v>
      </c>
      <c r="G309" s="3" t="s">
        <v>1221</v>
      </c>
      <c r="H309" s="3" t="s">
        <v>1576</v>
      </c>
      <c r="I309" s="3"/>
      <c r="J309" s="3" t="s">
        <v>1260</v>
      </c>
      <c r="K309" s="3" t="s">
        <v>1289</v>
      </c>
      <c r="L309" s="3" t="s">
        <v>1290</v>
      </c>
      <c r="M309" s="3" t="s">
        <v>1291</v>
      </c>
      <c r="N309" s="3" t="s">
        <v>1586</v>
      </c>
    </row>
    <row r="310" spans="1:14" x14ac:dyDescent="0.45">
      <c r="A310" s="3" t="s">
        <v>458</v>
      </c>
      <c r="B310" s="3" t="s">
        <v>459</v>
      </c>
      <c r="C310" s="3" t="s">
        <v>1293</v>
      </c>
      <c r="D310" s="3" t="s">
        <v>1294</v>
      </c>
      <c r="E310" s="3" t="s">
        <v>1295</v>
      </c>
      <c r="F310" s="79">
        <v>288</v>
      </c>
      <c r="G310" s="3" t="s">
        <v>1221</v>
      </c>
      <c r="H310" s="3" t="s">
        <v>1576</v>
      </c>
      <c r="I310" s="3"/>
      <c r="J310" s="3" t="s">
        <v>1260</v>
      </c>
      <c r="K310" s="3" t="s">
        <v>1296</v>
      </c>
      <c r="L310" s="3" t="s">
        <v>1297</v>
      </c>
      <c r="M310" s="3" t="s">
        <v>1298</v>
      </c>
      <c r="N310" s="3" t="s">
        <v>1587</v>
      </c>
    </row>
    <row r="311" spans="1:14" x14ac:dyDescent="0.45">
      <c r="A311" s="3" t="s">
        <v>458</v>
      </c>
      <c r="B311" s="3" t="s">
        <v>459</v>
      </c>
      <c r="C311" s="3" t="s">
        <v>1300</v>
      </c>
      <c r="D311" s="3" t="s">
        <v>1301</v>
      </c>
      <c r="E311" s="3" t="s">
        <v>1302</v>
      </c>
      <c r="F311" s="79">
        <v>285</v>
      </c>
      <c r="G311" s="3" t="s">
        <v>1221</v>
      </c>
      <c r="H311" s="3" t="s">
        <v>1576</v>
      </c>
      <c r="I311" s="3"/>
      <c r="J311" s="3" t="s">
        <v>1260</v>
      </c>
      <c r="K311" s="3" t="s">
        <v>1303</v>
      </c>
      <c r="L311" s="3" t="s">
        <v>1304</v>
      </c>
      <c r="M311" s="3" t="s">
        <v>1305</v>
      </c>
      <c r="N311" s="3" t="s">
        <v>1588</v>
      </c>
    </row>
    <row r="312" spans="1:14" x14ac:dyDescent="0.45">
      <c r="A312" s="3" t="s">
        <v>458</v>
      </c>
      <c r="B312" s="3" t="s">
        <v>459</v>
      </c>
      <c r="C312" s="3" t="s">
        <v>1307</v>
      </c>
      <c r="D312" s="3" t="s">
        <v>1244</v>
      </c>
      <c r="E312" s="3" t="s">
        <v>1302</v>
      </c>
      <c r="F312" s="79">
        <v>839</v>
      </c>
      <c r="G312" s="3" t="s">
        <v>1221</v>
      </c>
      <c r="H312" s="3" t="s">
        <v>1576</v>
      </c>
      <c r="I312" s="3"/>
      <c r="J312" s="3" t="s">
        <v>1260</v>
      </c>
      <c r="K312" s="3" t="s">
        <v>1303</v>
      </c>
      <c r="L312" s="3" t="s">
        <v>1304</v>
      </c>
      <c r="M312" s="3" t="s">
        <v>1305</v>
      </c>
      <c r="N312" s="3" t="s">
        <v>1589</v>
      </c>
    </row>
    <row r="313" spans="1:14" x14ac:dyDescent="0.45">
      <c r="A313" s="3" t="s">
        <v>458</v>
      </c>
      <c r="B313" s="3" t="s">
        <v>459</v>
      </c>
      <c r="C313" s="3" t="s">
        <v>1309</v>
      </c>
      <c r="D313" s="3" t="s">
        <v>1251</v>
      </c>
      <c r="E313" s="3" t="s">
        <v>1310</v>
      </c>
      <c r="F313" s="79">
        <v>305</v>
      </c>
      <c r="G313" s="3" t="s">
        <v>1221</v>
      </c>
      <c r="H313" s="3" t="s">
        <v>1576</v>
      </c>
      <c r="I313" s="3"/>
      <c r="J313" s="3" t="s">
        <v>1260</v>
      </c>
      <c r="K313" s="3" t="s">
        <v>1311</v>
      </c>
      <c r="L313" s="3" t="s">
        <v>1312</v>
      </c>
      <c r="M313" s="3" t="s">
        <v>1313</v>
      </c>
      <c r="N313" s="3" t="s">
        <v>1590</v>
      </c>
    </row>
    <row r="314" spans="1:14" x14ac:dyDescent="0.45">
      <c r="A314" s="3" t="s">
        <v>458</v>
      </c>
      <c r="B314" s="3" t="s">
        <v>459</v>
      </c>
      <c r="C314" s="3" t="s">
        <v>1315</v>
      </c>
      <c r="D314" s="3" t="s">
        <v>1316</v>
      </c>
      <c r="E314" s="3" t="s">
        <v>1317</v>
      </c>
      <c r="F314" s="79">
        <v>281</v>
      </c>
      <c r="G314" s="3" t="s">
        <v>1221</v>
      </c>
      <c r="H314" s="3" t="s">
        <v>1576</v>
      </c>
      <c r="I314" s="3"/>
      <c r="J314" s="3" t="s">
        <v>1260</v>
      </c>
      <c r="K314" s="3" t="s">
        <v>1318</v>
      </c>
      <c r="L314" s="3" t="s">
        <v>1319</v>
      </c>
      <c r="M314" s="3" t="s">
        <v>1320</v>
      </c>
      <c r="N314" s="3" t="s">
        <v>1591</v>
      </c>
    </row>
    <row r="315" spans="1:14" x14ac:dyDescent="0.45">
      <c r="A315" s="3" t="s">
        <v>458</v>
      </c>
      <c r="B315" s="3" t="s">
        <v>459</v>
      </c>
      <c r="C315" s="3" t="s">
        <v>1322</v>
      </c>
      <c r="D315" s="3" t="s">
        <v>1323</v>
      </c>
      <c r="E315" s="3" t="s">
        <v>1324</v>
      </c>
      <c r="F315" s="79">
        <v>288</v>
      </c>
      <c r="G315" s="3" t="s">
        <v>1221</v>
      </c>
      <c r="H315" s="3" t="s">
        <v>1576</v>
      </c>
      <c r="I315" s="3"/>
      <c r="J315" s="3" t="s">
        <v>1260</v>
      </c>
      <c r="K315" s="3" t="s">
        <v>1325</v>
      </c>
      <c r="L315" s="3" t="s">
        <v>1326</v>
      </c>
      <c r="M315" s="3" t="s">
        <v>1327</v>
      </c>
      <c r="N315" s="3" t="s">
        <v>1587</v>
      </c>
    </row>
    <row r="316" spans="1:14" x14ac:dyDescent="0.45">
      <c r="A316" s="3" t="s">
        <v>458</v>
      </c>
      <c r="B316" s="3" t="s">
        <v>459</v>
      </c>
      <c r="C316" s="3" t="s">
        <v>1329</v>
      </c>
      <c r="D316" s="3" t="s">
        <v>1251</v>
      </c>
      <c r="E316" s="3" t="s">
        <v>1324</v>
      </c>
      <c r="F316" s="79">
        <v>873</v>
      </c>
      <c r="G316" s="3" t="s">
        <v>1221</v>
      </c>
      <c r="H316" s="3" t="s">
        <v>1576</v>
      </c>
      <c r="I316" s="3"/>
      <c r="J316" s="3" t="s">
        <v>1260</v>
      </c>
      <c r="K316" s="3" t="s">
        <v>1325</v>
      </c>
      <c r="L316" s="3" t="s">
        <v>1326</v>
      </c>
      <c r="M316" s="3" t="s">
        <v>1327</v>
      </c>
      <c r="N316" s="3" t="s">
        <v>1374</v>
      </c>
    </row>
    <row r="317" spans="1:14" x14ac:dyDescent="0.45">
      <c r="A317" s="3" t="s">
        <v>458</v>
      </c>
      <c r="B317" s="3" t="s">
        <v>459</v>
      </c>
      <c r="C317" s="3" t="s">
        <v>1331</v>
      </c>
      <c r="D317" s="3" t="s">
        <v>1255</v>
      </c>
      <c r="E317" s="3" t="s">
        <v>1332</v>
      </c>
      <c r="F317" s="79">
        <v>303</v>
      </c>
      <c r="G317" s="3" t="s">
        <v>1221</v>
      </c>
      <c r="H317" s="3" t="s">
        <v>1576</v>
      </c>
      <c r="I317" s="3"/>
      <c r="J317" s="3" t="s">
        <v>1260</v>
      </c>
      <c r="K317" s="3" t="s">
        <v>1333</v>
      </c>
      <c r="L317" s="3" t="s">
        <v>1334</v>
      </c>
      <c r="M317" s="3" t="s">
        <v>1335</v>
      </c>
      <c r="N317" s="3" t="s">
        <v>1592</v>
      </c>
    </row>
    <row r="318" spans="1:14" x14ac:dyDescent="0.45">
      <c r="A318" s="3" t="s">
        <v>458</v>
      </c>
      <c r="B318" s="3" t="s">
        <v>459</v>
      </c>
      <c r="C318" s="3" t="s">
        <v>1337</v>
      </c>
      <c r="D318" s="3" t="s">
        <v>1338</v>
      </c>
      <c r="E318" s="3" t="s">
        <v>1339</v>
      </c>
      <c r="F318" s="79">
        <v>312</v>
      </c>
      <c r="G318" s="3" t="s">
        <v>1221</v>
      </c>
      <c r="H318" s="3" t="s">
        <v>1576</v>
      </c>
      <c r="I318" s="3"/>
      <c r="J318" s="3" t="s">
        <v>1260</v>
      </c>
      <c r="K318" s="3" t="s">
        <v>1340</v>
      </c>
      <c r="L318" s="3" t="s">
        <v>1341</v>
      </c>
      <c r="M318" s="3" t="s">
        <v>1342</v>
      </c>
      <c r="N318" s="3" t="s">
        <v>1593</v>
      </c>
    </row>
    <row r="319" spans="1:14" x14ac:dyDescent="0.45">
      <c r="A319" s="3" t="s">
        <v>458</v>
      </c>
      <c r="B319" s="3" t="s">
        <v>459</v>
      </c>
      <c r="C319" s="3" t="s">
        <v>1344</v>
      </c>
      <c r="D319" s="3" t="s">
        <v>1345</v>
      </c>
      <c r="E319" s="3" t="s">
        <v>1346</v>
      </c>
      <c r="F319" s="79">
        <v>348</v>
      </c>
      <c r="G319" s="3" t="s">
        <v>1221</v>
      </c>
      <c r="H319" s="3" t="s">
        <v>1576</v>
      </c>
      <c r="I319" s="3"/>
      <c r="J319" s="3" t="s">
        <v>1260</v>
      </c>
      <c r="K319" s="3" t="s">
        <v>1325</v>
      </c>
      <c r="L319" s="3" t="s">
        <v>1326</v>
      </c>
      <c r="M319" s="3" t="s">
        <v>1327</v>
      </c>
      <c r="N319" s="3" t="s">
        <v>1594</v>
      </c>
    </row>
    <row r="320" spans="1:14" x14ac:dyDescent="0.45">
      <c r="A320" s="3" t="s">
        <v>458</v>
      </c>
      <c r="B320" s="3" t="s">
        <v>459</v>
      </c>
      <c r="C320" s="3" t="s">
        <v>1348</v>
      </c>
      <c r="D320" s="3" t="s">
        <v>1255</v>
      </c>
      <c r="E320" s="3" t="s">
        <v>1346</v>
      </c>
      <c r="F320" s="79">
        <v>963</v>
      </c>
      <c r="G320" s="3" t="s">
        <v>1221</v>
      </c>
      <c r="H320" s="3" t="s">
        <v>1576</v>
      </c>
      <c r="I320" s="3"/>
      <c r="J320" s="3" t="s">
        <v>1260</v>
      </c>
      <c r="K320" s="3" t="s">
        <v>1325</v>
      </c>
      <c r="L320" s="3" t="s">
        <v>1326</v>
      </c>
      <c r="M320" s="3" t="s">
        <v>1327</v>
      </c>
      <c r="N320" s="3" t="s">
        <v>1595</v>
      </c>
    </row>
    <row r="321" spans="1:14" x14ac:dyDescent="0.45">
      <c r="A321" s="3" t="s">
        <v>458</v>
      </c>
      <c r="B321" s="3" t="s">
        <v>459</v>
      </c>
      <c r="C321" s="3" t="s">
        <v>1350</v>
      </c>
      <c r="D321" s="3" t="s">
        <v>1351</v>
      </c>
      <c r="E321" s="3" t="s">
        <v>1352</v>
      </c>
      <c r="F321" s="79">
        <v>337</v>
      </c>
      <c r="G321" s="3" t="s">
        <v>1221</v>
      </c>
      <c r="H321" s="3" t="s">
        <v>1576</v>
      </c>
      <c r="I321" s="3"/>
      <c r="J321" s="3" t="s">
        <v>1260</v>
      </c>
      <c r="K321" s="3" t="s">
        <v>1333</v>
      </c>
      <c r="L321" s="3" t="s">
        <v>1334</v>
      </c>
      <c r="M321" s="3" t="s">
        <v>1335</v>
      </c>
      <c r="N321" s="3" t="s">
        <v>1596</v>
      </c>
    </row>
    <row r="322" spans="1:14" x14ac:dyDescent="0.45">
      <c r="A322" s="3" t="s">
        <v>458</v>
      </c>
      <c r="B322" s="3" t="s">
        <v>459</v>
      </c>
      <c r="C322" s="3" t="s">
        <v>1354</v>
      </c>
      <c r="D322" s="3" t="s">
        <v>1355</v>
      </c>
      <c r="E322" s="3" t="s">
        <v>1356</v>
      </c>
      <c r="F322" s="79">
        <v>364</v>
      </c>
      <c r="G322" s="3" t="s">
        <v>1221</v>
      </c>
      <c r="H322" s="3" t="s">
        <v>1576</v>
      </c>
      <c r="I322" s="3"/>
      <c r="J322" s="3" t="s">
        <v>1260</v>
      </c>
      <c r="K322" s="3" t="s">
        <v>1340</v>
      </c>
      <c r="L322" s="3" t="s">
        <v>1341</v>
      </c>
      <c r="M322" s="3" t="s">
        <v>1342</v>
      </c>
      <c r="N322" s="3" t="s">
        <v>1597</v>
      </c>
    </row>
    <row r="323" spans="1:14" x14ac:dyDescent="0.45">
      <c r="A323" s="3" t="s">
        <v>462</v>
      </c>
      <c r="B323" s="3" t="s">
        <v>463</v>
      </c>
      <c r="C323" s="3" t="s">
        <v>1218</v>
      </c>
      <c r="D323" s="3" t="s">
        <v>1219</v>
      </c>
      <c r="E323" s="3" t="s">
        <v>1220</v>
      </c>
      <c r="F323" s="79">
        <v>-220</v>
      </c>
      <c r="G323" s="3" t="s">
        <v>1221</v>
      </c>
      <c r="H323" s="3" t="s">
        <v>1598</v>
      </c>
      <c r="I323" s="3"/>
      <c r="J323" s="3" t="s">
        <v>1224</v>
      </c>
      <c r="K323" s="3" t="s">
        <v>1225</v>
      </c>
      <c r="L323" s="3" t="s">
        <v>1226</v>
      </c>
      <c r="M323" s="3" t="s">
        <v>1227</v>
      </c>
      <c r="N323" s="3" t="s">
        <v>1599</v>
      </c>
    </row>
    <row r="324" spans="1:14" x14ac:dyDescent="0.45">
      <c r="A324" s="3" t="s">
        <v>462</v>
      </c>
      <c r="B324" s="3" t="s">
        <v>463</v>
      </c>
      <c r="C324" s="3" t="s">
        <v>1229</v>
      </c>
      <c r="D324" s="3" t="s">
        <v>1230</v>
      </c>
      <c r="E324" s="3" t="s">
        <v>1231</v>
      </c>
      <c r="F324" s="79">
        <v>-228</v>
      </c>
      <c r="G324" s="3" t="s">
        <v>1221</v>
      </c>
      <c r="H324" s="3" t="s">
        <v>1598</v>
      </c>
      <c r="I324" s="3"/>
      <c r="J324" s="3" t="s">
        <v>1224</v>
      </c>
      <c r="K324" s="3" t="s">
        <v>1232</v>
      </c>
      <c r="L324" s="3" t="s">
        <v>1233</v>
      </c>
      <c r="M324" s="3" t="s">
        <v>1234</v>
      </c>
      <c r="N324" s="3" t="s">
        <v>1600</v>
      </c>
    </row>
    <row r="325" spans="1:14" x14ac:dyDescent="0.45">
      <c r="A325" s="3" t="s">
        <v>462</v>
      </c>
      <c r="B325" s="3" t="s">
        <v>463</v>
      </c>
      <c r="C325" s="3" t="s">
        <v>1236</v>
      </c>
      <c r="D325" s="3" t="s">
        <v>1237</v>
      </c>
      <c r="E325" s="3" t="s">
        <v>1238</v>
      </c>
      <c r="F325" s="79">
        <v>-384</v>
      </c>
      <c r="G325" s="3" t="s">
        <v>1221</v>
      </c>
      <c r="H325" s="3" t="s">
        <v>1598</v>
      </c>
      <c r="I325" s="3"/>
      <c r="J325" s="3" t="s">
        <v>1224</v>
      </c>
      <c r="K325" s="3" t="s">
        <v>1239</v>
      </c>
      <c r="L325" s="3" t="s">
        <v>1240</v>
      </c>
      <c r="M325" s="3" t="s">
        <v>1241</v>
      </c>
      <c r="N325" s="3" t="s">
        <v>1601</v>
      </c>
    </row>
    <row r="326" spans="1:14" x14ac:dyDescent="0.45">
      <c r="A326" s="3" t="s">
        <v>462</v>
      </c>
      <c r="B326" s="3" t="s">
        <v>463</v>
      </c>
      <c r="C326" s="3" t="s">
        <v>1243</v>
      </c>
      <c r="D326" s="3" t="s">
        <v>1244</v>
      </c>
      <c r="E326" s="3" t="s">
        <v>1245</v>
      </c>
      <c r="F326" s="79">
        <v>-287</v>
      </c>
      <c r="G326" s="3" t="s">
        <v>1221</v>
      </c>
      <c r="H326" s="3" t="s">
        <v>1598</v>
      </c>
      <c r="I326" s="3"/>
      <c r="J326" s="3" t="s">
        <v>1224</v>
      </c>
      <c r="K326" s="3" t="s">
        <v>1246</v>
      </c>
      <c r="L326" s="3" t="s">
        <v>1247</v>
      </c>
      <c r="M326" s="3" t="s">
        <v>1248</v>
      </c>
      <c r="N326" s="3" t="s">
        <v>1602</v>
      </c>
    </row>
    <row r="327" spans="1:14" x14ac:dyDescent="0.45">
      <c r="A327" s="3" t="s">
        <v>462</v>
      </c>
      <c r="B327" s="3" t="s">
        <v>463</v>
      </c>
      <c r="C327" s="3" t="s">
        <v>1250</v>
      </c>
      <c r="D327" s="3" t="s">
        <v>1251</v>
      </c>
      <c r="E327" s="3" t="s">
        <v>1252</v>
      </c>
      <c r="F327" s="79">
        <v>16</v>
      </c>
      <c r="G327" s="3" t="s">
        <v>1221</v>
      </c>
      <c r="H327" s="3" t="s">
        <v>1598</v>
      </c>
      <c r="I327" s="3"/>
      <c r="J327" s="3" t="s">
        <v>1224</v>
      </c>
      <c r="K327" s="3" t="s">
        <v>1246</v>
      </c>
      <c r="L327" s="3" t="s">
        <v>1247</v>
      </c>
      <c r="M327" s="3" t="s">
        <v>1248</v>
      </c>
      <c r="N327" s="3" t="s">
        <v>1603</v>
      </c>
    </row>
    <row r="328" spans="1:14" x14ac:dyDescent="0.45">
      <c r="A328" s="3" t="s">
        <v>462</v>
      </c>
      <c r="B328" s="3" t="s">
        <v>463</v>
      </c>
      <c r="C328" s="3" t="s">
        <v>1254</v>
      </c>
      <c r="D328" s="3" t="s">
        <v>1255</v>
      </c>
      <c r="E328" s="3" t="s">
        <v>1256</v>
      </c>
      <c r="F328" s="79">
        <v>292</v>
      </c>
      <c r="G328" s="3" t="s">
        <v>1221</v>
      </c>
      <c r="H328" s="3" t="s">
        <v>1598</v>
      </c>
      <c r="I328" s="3"/>
      <c r="J328" s="3" t="s">
        <v>1224</v>
      </c>
      <c r="K328" s="3" t="s">
        <v>1246</v>
      </c>
      <c r="L328" s="3" t="s">
        <v>1247</v>
      </c>
      <c r="M328" s="3" t="s">
        <v>1248</v>
      </c>
      <c r="N328" s="3" t="s">
        <v>1604</v>
      </c>
    </row>
    <row r="329" spans="1:14" x14ac:dyDescent="0.45">
      <c r="A329" s="3" t="s">
        <v>462</v>
      </c>
      <c r="B329" s="3" t="s">
        <v>463</v>
      </c>
      <c r="C329" s="3" t="s">
        <v>1258</v>
      </c>
      <c r="D329" s="3" t="s">
        <v>1230</v>
      </c>
      <c r="E329" s="3" t="s">
        <v>1259</v>
      </c>
      <c r="F329" s="79">
        <v>-112</v>
      </c>
      <c r="G329" s="3" t="s">
        <v>1221</v>
      </c>
      <c r="H329" s="3" t="s">
        <v>1598</v>
      </c>
      <c r="I329" s="3"/>
      <c r="J329" s="3" t="s">
        <v>1260</v>
      </c>
      <c r="K329" s="3" t="s">
        <v>1261</v>
      </c>
      <c r="L329" s="3" t="s">
        <v>1262</v>
      </c>
      <c r="M329" s="3" t="s">
        <v>1263</v>
      </c>
      <c r="N329" s="3" t="s">
        <v>1605</v>
      </c>
    </row>
    <row r="330" spans="1:14" x14ac:dyDescent="0.45">
      <c r="A330" s="3" t="s">
        <v>462</v>
      </c>
      <c r="B330" s="3" t="s">
        <v>463</v>
      </c>
      <c r="C330" s="3" t="s">
        <v>1265</v>
      </c>
      <c r="D330" s="3" t="s">
        <v>1237</v>
      </c>
      <c r="E330" s="3" t="s">
        <v>1266</v>
      </c>
      <c r="F330" s="79">
        <v>-101</v>
      </c>
      <c r="G330" s="3" t="s">
        <v>1221</v>
      </c>
      <c r="H330" s="3" t="s">
        <v>1598</v>
      </c>
      <c r="I330" s="3"/>
      <c r="J330" s="3" t="s">
        <v>1260</v>
      </c>
      <c r="K330" s="3" t="s">
        <v>1267</v>
      </c>
      <c r="L330" s="3" t="s">
        <v>1268</v>
      </c>
      <c r="M330" s="3" t="s">
        <v>1269</v>
      </c>
      <c r="N330" s="3" t="s">
        <v>1606</v>
      </c>
    </row>
    <row r="331" spans="1:14" x14ac:dyDescent="0.45">
      <c r="A331" s="3" t="s">
        <v>462</v>
      </c>
      <c r="B331" s="3" t="s">
        <v>463</v>
      </c>
      <c r="C331" s="3" t="s">
        <v>1271</v>
      </c>
      <c r="D331" s="3" t="s">
        <v>1272</v>
      </c>
      <c r="E331" s="3" t="s">
        <v>1273</v>
      </c>
      <c r="F331" s="79">
        <v>-99</v>
      </c>
      <c r="G331" s="3" t="s">
        <v>1221</v>
      </c>
      <c r="H331" s="3" t="s">
        <v>1598</v>
      </c>
      <c r="I331" s="3"/>
      <c r="J331" s="3" t="s">
        <v>1260</v>
      </c>
      <c r="K331" s="3" t="s">
        <v>1274</v>
      </c>
      <c r="L331" s="3" t="s">
        <v>1275</v>
      </c>
      <c r="M331" s="3" t="s">
        <v>1276</v>
      </c>
      <c r="N331" s="3" t="s">
        <v>1607</v>
      </c>
    </row>
    <row r="332" spans="1:14" x14ac:dyDescent="0.45">
      <c r="A332" s="3" t="s">
        <v>462</v>
      </c>
      <c r="B332" s="3" t="s">
        <v>463</v>
      </c>
      <c r="C332" s="3" t="s">
        <v>1278</v>
      </c>
      <c r="D332" s="3" t="s">
        <v>1279</v>
      </c>
      <c r="E332" s="3" t="s">
        <v>1280</v>
      </c>
      <c r="F332" s="79">
        <v>-85</v>
      </c>
      <c r="G332" s="3" t="s">
        <v>1221</v>
      </c>
      <c r="H332" s="3" t="s">
        <v>1598</v>
      </c>
      <c r="I332" s="3"/>
      <c r="J332" s="3" t="s">
        <v>1260</v>
      </c>
      <c r="K332" s="3" t="s">
        <v>1281</v>
      </c>
      <c r="L332" s="3" t="s">
        <v>1282</v>
      </c>
      <c r="M332" s="3" t="s">
        <v>1283</v>
      </c>
      <c r="N332" s="3" t="s">
        <v>1608</v>
      </c>
    </row>
    <row r="333" spans="1:14" x14ac:dyDescent="0.45">
      <c r="A333" s="3" t="s">
        <v>462</v>
      </c>
      <c r="B333" s="3" t="s">
        <v>463</v>
      </c>
      <c r="C333" s="3" t="s">
        <v>1285</v>
      </c>
      <c r="D333" s="3" t="s">
        <v>1237</v>
      </c>
      <c r="E333" s="3" t="s">
        <v>1280</v>
      </c>
      <c r="F333" s="79">
        <v>-285</v>
      </c>
      <c r="G333" s="3" t="s">
        <v>1221</v>
      </c>
      <c r="H333" s="3" t="s">
        <v>1598</v>
      </c>
      <c r="I333" s="3"/>
      <c r="J333" s="3" t="s">
        <v>1260</v>
      </c>
      <c r="K333" s="3" t="s">
        <v>1281</v>
      </c>
      <c r="L333" s="3" t="s">
        <v>1282</v>
      </c>
      <c r="M333" s="3" t="s">
        <v>1283</v>
      </c>
      <c r="N333" s="3" t="s">
        <v>1609</v>
      </c>
    </row>
    <row r="334" spans="1:14" x14ac:dyDescent="0.45">
      <c r="A334" s="3" t="s">
        <v>462</v>
      </c>
      <c r="B334" s="3" t="s">
        <v>463</v>
      </c>
      <c r="C334" s="3" t="s">
        <v>1287</v>
      </c>
      <c r="D334" s="3" t="s">
        <v>1244</v>
      </c>
      <c r="E334" s="3" t="s">
        <v>1288</v>
      </c>
      <c r="F334" s="79">
        <v>-92</v>
      </c>
      <c r="G334" s="3" t="s">
        <v>1221</v>
      </c>
      <c r="H334" s="3" t="s">
        <v>1598</v>
      </c>
      <c r="I334" s="3"/>
      <c r="J334" s="3" t="s">
        <v>1260</v>
      </c>
      <c r="K334" s="3" t="s">
        <v>1289</v>
      </c>
      <c r="L334" s="3" t="s">
        <v>1290</v>
      </c>
      <c r="M334" s="3" t="s">
        <v>1291</v>
      </c>
      <c r="N334" s="3" t="s">
        <v>1610</v>
      </c>
    </row>
    <row r="335" spans="1:14" x14ac:dyDescent="0.45">
      <c r="A335" s="3" t="s">
        <v>462</v>
      </c>
      <c r="B335" s="3" t="s">
        <v>463</v>
      </c>
      <c r="C335" s="3" t="s">
        <v>1293</v>
      </c>
      <c r="D335" s="3" t="s">
        <v>1294</v>
      </c>
      <c r="E335" s="3" t="s">
        <v>1295</v>
      </c>
      <c r="F335" s="79">
        <v>-80</v>
      </c>
      <c r="G335" s="3" t="s">
        <v>1221</v>
      </c>
      <c r="H335" s="3" t="s">
        <v>1598</v>
      </c>
      <c r="I335" s="3"/>
      <c r="J335" s="3" t="s">
        <v>1260</v>
      </c>
      <c r="K335" s="3" t="s">
        <v>1296</v>
      </c>
      <c r="L335" s="3" t="s">
        <v>1297</v>
      </c>
      <c r="M335" s="3" t="s">
        <v>1298</v>
      </c>
      <c r="N335" s="3" t="s">
        <v>1611</v>
      </c>
    </row>
    <row r="336" spans="1:14" x14ac:dyDescent="0.45">
      <c r="A336" s="3" t="s">
        <v>462</v>
      </c>
      <c r="B336" s="3" t="s">
        <v>463</v>
      </c>
      <c r="C336" s="3" t="s">
        <v>1300</v>
      </c>
      <c r="D336" s="3" t="s">
        <v>1301</v>
      </c>
      <c r="E336" s="3" t="s">
        <v>1302</v>
      </c>
      <c r="F336" s="79">
        <v>-59</v>
      </c>
      <c r="G336" s="3" t="s">
        <v>1221</v>
      </c>
      <c r="H336" s="3" t="s">
        <v>1598</v>
      </c>
      <c r="I336" s="3"/>
      <c r="J336" s="3" t="s">
        <v>1260</v>
      </c>
      <c r="K336" s="3" t="s">
        <v>1303</v>
      </c>
      <c r="L336" s="3" t="s">
        <v>1304</v>
      </c>
      <c r="M336" s="3" t="s">
        <v>1305</v>
      </c>
      <c r="N336" s="3" t="s">
        <v>1612</v>
      </c>
    </row>
    <row r="337" spans="1:14" x14ac:dyDescent="0.45">
      <c r="A337" s="3" t="s">
        <v>462</v>
      </c>
      <c r="B337" s="3" t="s">
        <v>463</v>
      </c>
      <c r="C337" s="3" t="s">
        <v>1307</v>
      </c>
      <c r="D337" s="3" t="s">
        <v>1244</v>
      </c>
      <c r="E337" s="3" t="s">
        <v>1302</v>
      </c>
      <c r="F337" s="79">
        <v>-231</v>
      </c>
      <c r="G337" s="3" t="s">
        <v>1221</v>
      </c>
      <c r="H337" s="3" t="s">
        <v>1598</v>
      </c>
      <c r="I337" s="3"/>
      <c r="J337" s="3" t="s">
        <v>1260</v>
      </c>
      <c r="K337" s="3" t="s">
        <v>1303</v>
      </c>
      <c r="L337" s="3" t="s">
        <v>1304</v>
      </c>
      <c r="M337" s="3" t="s">
        <v>1305</v>
      </c>
      <c r="N337" s="3" t="s">
        <v>1613</v>
      </c>
    </row>
    <row r="338" spans="1:14" x14ac:dyDescent="0.45">
      <c r="A338" s="3" t="s">
        <v>462</v>
      </c>
      <c r="B338" s="3" t="s">
        <v>463</v>
      </c>
      <c r="C338" s="3" t="s">
        <v>1309</v>
      </c>
      <c r="D338" s="3" t="s">
        <v>1251</v>
      </c>
      <c r="E338" s="3" t="s">
        <v>1310</v>
      </c>
      <c r="F338" s="79">
        <v>-56</v>
      </c>
      <c r="G338" s="3" t="s">
        <v>1221</v>
      </c>
      <c r="H338" s="3" t="s">
        <v>1598</v>
      </c>
      <c r="I338" s="3"/>
      <c r="J338" s="3" t="s">
        <v>1260</v>
      </c>
      <c r="K338" s="3" t="s">
        <v>1311</v>
      </c>
      <c r="L338" s="3" t="s">
        <v>1312</v>
      </c>
      <c r="M338" s="3" t="s">
        <v>1313</v>
      </c>
      <c r="N338" s="3" t="s">
        <v>1614</v>
      </c>
    </row>
    <row r="339" spans="1:14" x14ac:dyDescent="0.45">
      <c r="A339" s="3" t="s">
        <v>462</v>
      </c>
      <c r="B339" s="3" t="s">
        <v>463</v>
      </c>
      <c r="C339" s="3" t="s">
        <v>1315</v>
      </c>
      <c r="D339" s="3" t="s">
        <v>1316</v>
      </c>
      <c r="E339" s="3" t="s">
        <v>1317</v>
      </c>
      <c r="F339" s="79">
        <v>5</v>
      </c>
      <c r="G339" s="3" t="s">
        <v>1221</v>
      </c>
      <c r="H339" s="3" t="s">
        <v>1598</v>
      </c>
      <c r="I339" s="3"/>
      <c r="J339" s="3" t="s">
        <v>1260</v>
      </c>
      <c r="K339" s="3" t="s">
        <v>1318</v>
      </c>
      <c r="L339" s="3" t="s">
        <v>1319</v>
      </c>
      <c r="M339" s="3" t="s">
        <v>1320</v>
      </c>
      <c r="N339" s="3" t="s">
        <v>1460</v>
      </c>
    </row>
    <row r="340" spans="1:14" x14ac:dyDescent="0.45">
      <c r="A340" s="3" t="s">
        <v>462</v>
      </c>
      <c r="B340" s="3" t="s">
        <v>463</v>
      </c>
      <c r="C340" s="3" t="s">
        <v>1322</v>
      </c>
      <c r="D340" s="3" t="s">
        <v>1323</v>
      </c>
      <c r="E340" s="3" t="s">
        <v>1324</v>
      </c>
      <c r="F340" s="79">
        <v>34</v>
      </c>
      <c r="G340" s="3" t="s">
        <v>1221</v>
      </c>
      <c r="H340" s="3" t="s">
        <v>1598</v>
      </c>
      <c r="I340" s="3"/>
      <c r="J340" s="3" t="s">
        <v>1260</v>
      </c>
      <c r="K340" s="3" t="s">
        <v>1325</v>
      </c>
      <c r="L340" s="3" t="s">
        <v>1326</v>
      </c>
      <c r="M340" s="3" t="s">
        <v>1327</v>
      </c>
      <c r="N340" s="3" t="s">
        <v>1615</v>
      </c>
    </row>
    <row r="341" spans="1:14" x14ac:dyDescent="0.45">
      <c r="A341" s="3" t="s">
        <v>462</v>
      </c>
      <c r="B341" s="3" t="s">
        <v>463</v>
      </c>
      <c r="C341" s="3" t="s">
        <v>1329</v>
      </c>
      <c r="D341" s="3" t="s">
        <v>1251</v>
      </c>
      <c r="E341" s="3" t="s">
        <v>1324</v>
      </c>
      <c r="F341" s="79">
        <v>-16</v>
      </c>
      <c r="G341" s="3" t="s">
        <v>1221</v>
      </c>
      <c r="H341" s="3" t="s">
        <v>1598</v>
      </c>
      <c r="I341" s="3"/>
      <c r="J341" s="3" t="s">
        <v>1260</v>
      </c>
      <c r="K341" s="3" t="s">
        <v>1325</v>
      </c>
      <c r="L341" s="3" t="s">
        <v>1326</v>
      </c>
      <c r="M341" s="3" t="s">
        <v>1327</v>
      </c>
      <c r="N341" s="3" t="s">
        <v>1616</v>
      </c>
    </row>
    <row r="342" spans="1:14" x14ac:dyDescent="0.45">
      <c r="A342" s="3" t="s">
        <v>462</v>
      </c>
      <c r="B342" s="3" t="s">
        <v>463</v>
      </c>
      <c r="C342" s="3" t="s">
        <v>1331</v>
      </c>
      <c r="D342" s="3" t="s">
        <v>1255</v>
      </c>
      <c r="E342" s="3" t="s">
        <v>1332</v>
      </c>
      <c r="F342" s="79">
        <v>43</v>
      </c>
      <c r="G342" s="3" t="s">
        <v>1221</v>
      </c>
      <c r="H342" s="3" t="s">
        <v>1598</v>
      </c>
      <c r="I342" s="3"/>
      <c r="J342" s="3" t="s">
        <v>1260</v>
      </c>
      <c r="K342" s="3" t="s">
        <v>1333</v>
      </c>
      <c r="L342" s="3" t="s">
        <v>1334</v>
      </c>
      <c r="M342" s="3" t="s">
        <v>1335</v>
      </c>
      <c r="N342" s="3" t="s">
        <v>1422</v>
      </c>
    </row>
    <row r="343" spans="1:14" x14ac:dyDescent="0.45">
      <c r="A343" s="3" t="s">
        <v>462</v>
      </c>
      <c r="B343" s="3" t="s">
        <v>463</v>
      </c>
      <c r="C343" s="3" t="s">
        <v>1337</v>
      </c>
      <c r="D343" s="3" t="s">
        <v>1338</v>
      </c>
      <c r="E343" s="3" t="s">
        <v>1339</v>
      </c>
      <c r="F343" s="79">
        <v>80</v>
      </c>
      <c r="G343" s="3" t="s">
        <v>1221</v>
      </c>
      <c r="H343" s="3" t="s">
        <v>1598</v>
      </c>
      <c r="I343" s="3"/>
      <c r="J343" s="3" t="s">
        <v>1260</v>
      </c>
      <c r="K343" s="3" t="s">
        <v>1340</v>
      </c>
      <c r="L343" s="3" t="s">
        <v>1341</v>
      </c>
      <c r="M343" s="3" t="s">
        <v>1342</v>
      </c>
      <c r="N343" s="3" t="s">
        <v>1565</v>
      </c>
    </row>
    <row r="344" spans="1:14" x14ac:dyDescent="0.45">
      <c r="A344" s="3" t="s">
        <v>462</v>
      </c>
      <c r="B344" s="3" t="s">
        <v>463</v>
      </c>
      <c r="C344" s="3" t="s">
        <v>1344</v>
      </c>
      <c r="D344" s="3" t="s">
        <v>1345</v>
      </c>
      <c r="E344" s="3" t="s">
        <v>1346</v>
      </c>
      <c r="F344" s="79">
        <v>84</v>
      </c>
      <c r="G344" s="3" t="s">
        <v>1221</v>
      </c>
      <c r="H344" s="3" t="s">
        <v>1598</v>
      </c>
      <c r="I344" s="3"/>
      <c r="J344" s="3" t="s">
        <v>1260</v>
      </c>
      <c r="K344" s="3" t="s">
        <v>1325</v>
      </c>
      <c r="L344" s="3" t="s">
        <v>1326</v>
      </c>
      <c r="M344" s="3" t="s">
        <v>1327</v>
      </c>
      <c r="N344" s="3" t="s">
        <v>1521</v>
      </c>
    </row>
    <row r="345" spans="1:14" x14ac:dyDescent="0.45">
      <c r="A345" s="3" t="s">
        <v>462</v>
      </c>
      <c r="B345" s="3" t="s">
        <v>463</v>
      </c>
      <c r="C345" s="3" t="s">
        <v>1348</v>
      </c>
      <c r="D345" s="3" t="s">
        <v>1255</v>
      </c>
      <c r="E345" s="3" t="s">
        <v>1346</v>
      </c>
      <c r="F345" s="79">
        <v>207</v>
      </c>
      <c r="G345" s="3" t="s">
        <v>1221</v>
      </c>
      <c r="H345" s="3" t="s">
        <v>1598</v>
      </c>
      <c r="I345" s="3"/>
      <c r="J345" s="3" t="s">
        <v>1260</v>
      </c>
      <c r="K345" s="3" t="s">
        <v>1325</v>
      </c>
      <c r="L345" s="3" t="s">
        <v>1326</v>
      </c>
      <c r="M345" s="3" t="s">
        <v>1327</v>
      </c>
      <c r="N345" s="3" t="s">
        <v>1617</v>
      </c>
    </row>
    <row r="346" spans="1:14" x14ac:dyDescent="0.45">
      <c r="A346" s="3" t="s">
        <v>462</v>
      </c>
      <c r="B346" s="3" t="s">
        <v>463</v>
      </c>
      <c r="C346" s="3" t="s">
        <v>1350</v>
      </c>
      <c r="D346" s="3" t="s">
        <v>1351</v>
      </c>
      <c r="E346" s="3" t="s">
        <v>1352</v>
      </c>
      <c r="F346" s="79">
        <v>110</v>
      </c>
      <c r="G346" s="3" t="s">
        <v>1221</v>
      </c>
      <c r="H346" s="3" t="s">
        <v>1598</v>
      </c>
      <c r="I346" s="3"/>
      <c r="J346" s="3" t="s">
        <v>1260</v>
      </c>
      <c r="K346" s="3" t="s">
        <v>1333</v>
      </c>
      <c r="L346" s="3" t="s">
        <v>1334</v>
      </c>
      <c r="M346" s="3" t="s">
        <v>1335</v>
      </c>
      <c r="N346" s="3" t="s">
        <v>1556</v>
      </c>
    </row>
    <row r="347" spans="1:14" x14ac:dyDescent="0.45">
      <c r="A347" s="3" t="s">
        <v>462</v>
      </c>
      <c r="B347" s="3" t="s">
        <v>463</v>
      </c>
      <c r="C347" s="3" t="s">
        <v>1354</v>
      </c>
      <c r="D347" s="3" t="s">
        <v>1355</v>
      </c>
      <c r="E347" s="3" t="s">
        <v>1356</v>
      </c>
      <c r="F347" s="79">
        <v>152</v>
      </c>
      <c r="G347" s="3" t="s">
        <v>1221</v>
      </c>
      <c r="H347" s="3" t="s">
        <v>1598</v>
      </c>
      <c r="I347" s="3"/>
      <c r="J347" s="3" t="s">
        <v>1260</v>
      </c>
      <c r="K347" s="3" t="s">
        <v>1340</v>
      </c>
      <c r="L347" s="3" t="s">
        <v>1341</v>
      </c>
      <c r="M347" s="3" t="s">
        <v>1342</v>
      </c>
      <c r="N347" s="3" t="s">
        <v>1618</v>
      </c>
    </row>
    <row r="348" spans="1:14" x14ac:dyDescent="0.45">
      <c r="A348" s="3" t="s">
        <v>466</v>
      </c>
      <c r="B348" s="3" t="s">
        <v>1148</v>
      </c>
      <c r="C348" s="3" t="s">
        <v>1218</v>
      </c>
      <c r="D348" s="3" t="s">
        <v>1219</v>
      </c>
      <c r="E348" s="3" t="s">
        <v>1220</v>
      </c>
      <c r="F348" s="79">
        <v>-12</v>
      </c>
      <c r="G348" s="3" t="s">
        <v>1221</v>
      </c>
      <c r="H348" s="3" t="s">
        <v>1619</v>
      </c>
      <c r="I348" s="3"/>
      <c r="J348" s="3" t="s">
        <v>1224</v>
      </c>
      <c r="K348" s="3" t="s">
        <v>1225</v>
      </c>
      <c r="L348" s="3" t="s">
        <v>1226</v>
      </c>
      <c r="M348" s="3" t="s">
        <v>1227</v>
      </c>
      <c r="N348" s="3" t="s">
        <v>1620</v>
      </c>
    </row>
    <row r="349" spans="1:14" x14ac:dyDescent="0.45">
      <c r="A349" s="3" t="s">
        <v>466</v>
      </c>
      <c r="B349" s="3" t="s">
        <v>1148</v>
      </c>
      <c r="C349" s="3" t="s">
        <v>1229</v>
      </c>
      <c r="D349" s="3" t="s">
        <v>1230</v>
      </c>
      <c r="E349" s="3" t="s">
        <v>1231</v>
      </c>
      <c r="F349" s="79">
        <v>-12</v>
      </c>
      <c r="G349" s="3" t="s">
        <v>1221</v>
      </c>
      <c r="H349" s="3" t="s">
        <v>1619</v>
      </c>
      <c r="I349" s="3"/>
      <c r="J349" s="3" t="s">
        <v>1224</v>
      </c>
      <c r="K349" s="3" t="s">
        <v>1232</v>
      </c>
      <c r="L349" s="3" t="s">
        <v>1233</v>
      </c>
      <c r="M349" s="3" t="s">
        <v>1234</v>
      </c>
      <c r="N349" s="3" t="s">
        <v>1620</v>
      </c>
    </row>
    <row r="350" spans="1:14" x14ac:dyDescent="0.45">
      <c r="A350" s="3" t="s">
        <v>466</v>
      </c>
      <c r="B350" s="3" t="s">
        <v>1148</v>
      </c>
      <c r="C350" s="3" t="s">
        <v>1236</v>
      </c>
      <c r="D350" s="3" t="s">
        <v>1237</v>
      </c>
      <c r="E350" s="3" t="s">
        <v>1238</v>
      </c>
      <c r="F350" s="79">
        <v>11</v>
      </c>
      <c r="G350" s="3" t="s">
        <v>1221</v>
      </c>
      <c r="H350" s="3" t="s">
        <v>1619</v>
      </c>
      <c r="I350" s="3"/>
      <c r="J350" s="3" t="s">
        <v>1224</v>
      </c>
      <c r="K350" s="3" t="s">
        <v>1239</v>
      </c>
      <c r="L350" s="3" t="s">
        <v>1240</v>
      </c>
      <c r="M350" s="3" t="s">
        <v>1241</v>
      </c>
      <c r="N350" s="3" t="s">
        <v>1621</v>
      </c>
    </row>
    <row r="351" spans="1:14" x14ac:dyDescent="0.45">
      <c r="A351" s="3" t="s">
        <v>466</v>
      </c>
      <c r="B351" s="3" t="s">
        <v>1148</v>
      </c>
      <c r="C351" s="3" t="s">
        <v>1243</v>
      </c>
      <c r="D351" s="3" t="s">
        <v>1244</v>
      </c>
      <c r="E351" s="3" t="s">
        <v>1245</v>
      </c>
      <c r="F351" s="79">
        <v>37</v>
      </c>
      <c r="G351" s="3" t="s">
        <v>1221</v>
      </c>
      <c r="H351" s="3" t="s">
        <v>1619</v>
      </c>
      <c r="I351" s="3"/>
      <c r="J351" s="3" t="s">
        <v>1224</v>
      </c>
      <c r="K351" s="3" t="s">
        <v>1246</v>
      </c>
      <c r="L351" s="3" t="s">
        <v>1247</v>
      </c>
      <c r="M351" s="3" t="s">
        <v>1248</v>
      </c>
      <c r="N351" s="3" t="s">
        <v>1622</v>
      </c>
    </row>
    <row r="352" spans="1:14" x14ac:dyDescent="0.45">
      <c r="A352" s="3" t="s">
        <v>466</v>
      </c>
      <c r="B352" s="3" t="s">
        <v>1148</v>
      </c>
      <c r="C352" s="3" t="s">
        <v>1250</v>
      </c>
      <c r="D352" s="3" t="s">
        <v>1251</v>
      </c>
      <c r="E352" s="3" t="s">
        <v>1252</v>
      </c>
      <c r="F352" s="79">
        <v>42</v>
      </c>
      <c r="G352" s="3" t="s">
        <v>1221</v>
      </c>
      <c r="H352" s="3" t="s">
        <v>1619</v>
      </c>
      <c r="I352" s="3"/>
      <c r="J352" s="3" t="s">
        <v>1224</v>
      </c>
      <c r="K352" s="3" t="s">
        <v>1246</v>
      </c>
      <c r="L352" s="3" t="s">
        <v>1247</v>
      </c>
      <c r="M352" s="3" t="s">
        <v>1248</v>
      </c>
      <c r="N352" s="3" t="s">
        <v>1623</v>
      </c>
    </row>
    <row r="353" spans="1:14" x14ac:dyDescent="0.45">
      <c r="A353" s="3" t="s">
        <v>466</v>
      </c>
      <c r="B353" s="3" t="s">
        <v>1148</v>
      </c>
      <c r="C353" s="3" t="s">
        <v>1254</v>
      </c>
      <c r="D353" s="3" t="s">
        <v>1255</v>
      </c>
      <c r="E353" s="3" t="s">
        <v>1256</v>
      </c>
      <c r="F353" s="79">
        <v>51</v>
      </c>
      <c r="G353" s="3" t="s">
        <v>1221</v>
      </c>
      <c r="H353" s="3" t="s">
        <v>1619</v>
      </c>
      <c r="I353" s="3"/>
      <c r="J353" s="3" t="s">
        <v>1224</v>
      </c>
      <c r="K353" s="3" t="s">
        <v>1246</v>
      </c>
      <c r="L353" s="3" t="s">
        <v>1247</v>
      </c>
      <c r="M353" s="3" t="s">
        <v>1248</v>
      </c>
      <c r="N353" s="3" t="s">
        <v>1624</v>
      </c>
    </row>
    <row r="354" spans="1:14" x14ac:dyDescent="0.45">
      <c r="A354" s="3" t="s">
        <v>466</v>
      </c>
      <c r="B354" s="3" t="s">
        <v>1148</v>
      </c>
      <c r="C354" s="3" t="s">
        <v>1258</v>
      </c>
      <c r="D354" s="3" t="s">
        <v>1230</v>
      </c>
      <c r="E354" s="3" t="s">
        <v>1259</v>
      </c>
      <c r="F354" s="79">
        <v>-12</v>
      </c>
      <c r="G354" s="3" t="s">
        <v>1221</v>
      </c>
      <c r="H354" s="3" t="s">
        <v>1619</v>
      </c>
      <c r="I354" s="3"/>
      <c r="J354" s="3" t="s">
        <v>1260</v>
      </c>
      <c r="K354" s="3" t="s">
        <v>1261</v>
      </c>
      <c r="L354" s="3" t="s">
        <v>1262</v>
      </c>
      <c r="M354" s="3" t="s">
        <v>1263</v>
      </c>
      <c r="N354" s="3" t="s">
        <v>1620</v>
      </c>
    </row>
    <row r="355" spans="1:14" x14ac:dyDescent="0.45">
      <c r="A355" s="3" t="s">
        <v>466</v>
      </c>
      <c r="B355" s="3" t="s">
        <v>1148</v>
      </c>
      <c r="C355" s="3" t="s">
        <v>1265</v>
      </c>
      <c r="D355" s="3" t="s">
        <v>1237</v>
      </c>
      <c r="E355" s="3" t="s">
        <v>1266</v>
      </c>
      <c r="F355" s="79">
        <v>0</v>
      </c>
      <c r="G355" s="3" t="s">
        <v>1221</v>
      </c>
      <c r="H355" s="3" t="s">
        <v>1619</v>
      </c>
      <c r="I355" s="3"/>
      <c r="J355" s="3" t="s">
        <v>1260</v>
      </c>
      <c r="K355" s="3" t="s">
        <v>1267</v>
      </c>
      <c r="L355" s="3" t="s">
        <v>1268</v>
      </c>
      <c r="M355" s="3" t="s">
        <v>1269</v>
      </c>
      <c r="N355" s="3" t="s">
        <v>1571</v>
      </c>
    </row>
    <row r="356" spans="1:14" x14ac:dyDescent="0.45">
      <c r="A356" s="3" t="s">
        <v>466</v>
      </c>
      <c r="B356" s="3" t="s">
        <v>1148</v>
      </c>
      <c r="C356" s="3" t="s">
        <v>1271</v>
      </c>
      <c r="D356" s="3" t="s">
        <v>1272</v>
      </c>
      <c r="E356" s="3" t="s">
        <v>1273</v>
      </c>
      <c r="F356" s="79">
        <v>1</v>
      </c>
      <c r="G356" s="3" t="s">
        <v>1221</v>
      </c>
      <c r="H356" s="3" t="s">
        <v>1619</v>
      </c>
      <c r="I356" s="3"/>
      <c r="J356" s="3" t="s">
        <v>1260</v>
      </c>
      <c r="K356" s="3" t="s">
        <v>1274</v>
      </c>
      <c r="L356" s="3" t="s">
        <v>1275</v>
      </c>
      <c r="M356" s="3" t="s">
        <v>1276</v>
      </c>
      <c r="N356" s="3" t="s">
        <v>1462</v>
      </c>
    </row>
    <row r="357" spans="1:14" x14ac:dyDescent="0.45">
      <c r="A357" s="3" t="s">
        <v>466</v>
      </c>
      <c r="B357" s="3" t="s">
        <v>1148</v>
      </c>
      <c r="C357" s="3" t="s">
        <v>1278</v>
      </c>
      <c r="D357" s="3" t="s">
        <v>1279</v>
      </c>
      <c r="E357" s="3" t="s">
        <v>1280</v>
      </c>
      <c r="F357" s="79">
        <v>3</v>
      </c>
      <c r="G357" s="3" t="s">
        <v>1221</v>
      </c>
      <c r="H357" s="3" t="s">
        <v>1619</v>
      </c>
      <c r="I357" s="3"/>
      <c r="J357" s="3" t="s">
        <v>1260</v>
      </c>
      <c r="K357" s="3" t="s">
        <v>1281</v>
      </c>
      <c r="L357" s="3" t="s">
        <v>1282</v>
      </c>
      <c r="M357" s="3" t="s">
        <v>1283</v>
      </c>
      <c r="N357" s="3" t="s">
        <v>1461</v>
      </c>
    </row>
    <row r="358" spans="1:14" x14ac:dyDescent="0.45">
      <c r="A358" s="3" t="s">
        <v>466</v>
      </c>
      <c r="B358" s="3" t="s">
        <v>1148</v>
      </c>
      <c r="C358" s="3" t="s">
        <v>1285</v>
      </c>
      <c r="D358" s="3" t="s">
        <v>1237</v>
      </c>
      <c r="E358" s="3" t="s">
        <v>1280</v>
      </c>
      <c r="F358" s="79">
        <v>5</v>
      </c>
      <c r="G358" s="3" t="s">
        <v>1221</v>
      </c>
      <c r="H358" s="3" t="s">
        <v>1619</v>
      </c>
      <c r="I358" s="3"/>
      <c r="J358" s="3" t="s">
        <v>1260</v>
      </c>
      <c r="K358" s="3" t="s">
        <v>1281</v>
      </c>
      <c r="L358" s="3" t="s">
        <v>1282</v>
      </c>
      <c r="M358" s="3" t="s">
        <v>1283</v>
      </c>
      <c r="N358" s="3" t="s">
        <v>1460</v>
      </c>
    </row>
    <row r="359" spans="1:14" x14ac:dyDescent="0.45">
      <c r="A359" s="3" t="s">
        <v>466</v>
      </c>
      <c r="B359" s="3" t="s">
        <v>1148</v>
      </c>
      <c r="C359" s="3" t="s">
        <v>1287</v>
      </c>
      <c r="D359" s="3" t="s">
        <v>1244</v>
      </c>
      <c r="E359" s="3" t="s">
        <v>1288</v>
      </c>
      <c r="F359" s="79">
        <v>8</v>
      </c>
      <c r="G359" s="3" t="s">
        <v>1221</v>
      </c>
      <c r="H359" s="3" t="s">
        <v>1619</v>
      </c>
      <c r="I359" s="3"/>
      <c r="J359" s="3" t="s">
        <v>1260</v>
      </c>
      <c r="K359" s="3" t="s">
        <v>1289</v>
      </c>
      <c r="L359" s="3" t="s">
        <v>1290</v>
      </c>
      <c r="M359" s="3" t="s">
        <v>1291</v>
      </c>
      <c r="N359" s="3" t="s">
        <v>1575</v>
      </c>
    </row>
    <row r="360" spans="1:14" x14ac:dyDescent="0.45">
      <c r="A360" s="3" t="s">
        <v>466</v>
      </c>
      <c r="B360" s="3" t="s">
        <v>1148</v>
      </c>
      <c r="C360" s="3" t="s">
        <v>1293</v>
      </c>
      <c r="D360" s="3" t="s">
        <v>1294</v>
      </c>
      <c r="E360" s="3" t="s">
        <v>1295</v>
      </c>
      <c r="F360" s="79">
        <v>9</v>
      </c>
      <c r="G360" s="3" t="s">
        <v>1221</v>
      </c>
      <c r="H360" s="3" t="s">
        <v>1619</v>
      </c>
      <c r="I360" s="3"/>
      <c r="J360" s="3" t="s">
        <v>1260</v>
      </c>
      <c r="K360" s="3" t="s">
        <v>1296</v>
      </c>
      <c r="L360" s="3" t="s">
        <v>1297</v>
      </c>
      <c r="M360" s="3" t="s">
        <v>1298</v>
      </c>
      <c r="N360" s="3" t="s">
        <v>1625</v>
      </c>
    </row>
    <row r="361" spans="1:14" x14ac:dyDescent="0.45">
      <c r="A361" s="3" t="s">
        <v>466</v>
      </c>
      <c r="B361" s="3" t="s">
        <v>1148</v>
      </c>
      <c r="C361" s="3" t="s">
        <v>1300</v>
      </c>
      <c r="D361" s="3" t="s">
        <v>1301</v>
      </c>
      <c r="E361" s="3" t="s">
        <v>1302</v>
      </c>
      <c r="F361" s="79">
        <v>10</v>
      </c>
      <c r="G361" s="3" t="s">
        <v>1221</v>
      </c>
      <c r="H361" s="3" t="s">
        <v>1619</v>
      </c>
      <c r="I361" s="3"/>
      <c r="J361" s="3" t="s">
        <v>1260</v>
      </c>
      <c r="K361" s="3" t="s">
        <v>1303</v>
      </c>
      <c r="L361" s="3" t="s">
        <v>1304</v>
      </c>
      <c r="M361" s="3" t="s">
        <v>1305</v>
      </c>
      <c r="N361" s="3" t="s">
        <v>1626</v>
      </c>
    </row>
    <row r="362" spans="1:14" x14ac:dyDescent="0.45">
      <c r="A362" s="3" t="s">
        <v>466</v>
      </c>
      <c r="B362" s="3" t="s">
        <v>1148</v>
      </c>
      <c r="C362" s="3" t="s">
        <v>1307</v>
      </c>
      <c r="D362" s="3" t="s">
        <v>1244</v>
      </c>
      <c r="E362" s="3" t="s">
        <v>1302</v>
      </c>
      <c r="F362" s="79">
        <v>27</v>
      </c>
      <c r="G362" s="3" t="s">
        <v>1221</v>
      </c>
      <c r="H362" s="3" t="s">
        <v>1619</v>
      </c>
      <c r="I362" s="3"/>
      <c r="J362" s="3" t="s">
        <v>1260</v>
      </c>
      <c r="K362" s="3" t="s">
        <v>1303</v>
      </c>
      <c r="L362" s="3" t="s">
        <v>1304</v>
      </c>
      <c r="M362" s="3" t="s">
        <v>1305</v>
      </c>
      <c r="N362" s="3" t="s">
        <v>1417</v>
      </c>
    </row>
    <row r="363" spans="1:14" x14ac:dyDescent="0.45">
      <c r="A363" s="3" t="s">
        <v>466</v>
      </c>
      <c r="B363" s="3" t="s">
        <v>1148</v>
      </c>
      <c r="C363" s="3" t="s">
        <v>1309</v>
      </c>
      <c r="D363" s="3" t="s">
        <v>1251</v>
      </c>
      <c r="E363" s="3" t="s">
        <v>1310</v>
      </c>
      <c r="F363" s="79">
        <v>10</v>
      </c>
      <c r="G363" s="3" t="s">
        <v>1221</v>
      </c>
      <c r="H363" s="3" t="s">
        <v>1619</v>
      </c>
      <c r="I363" s="3"/>
      <c r="J363" s="3" t="s">
        <v>1260</v>
      </c>
      <c r="K363" s="3" t="s">
        <v>1311</v>
      </c>
      <c r="L363" s="3" t="s">
        <v>1312</v>
      </c>
      <c r="M363" s="3" t="s">
        <v>1313</v>
      </c>
      <c r="N363" s="3" t="s">
        <v>1626</v>
      </c>
    </row>
    <row r="364" spans="1:14" x14ac:dyDescent="0.45">
      <c r="A364" s="3" t="s">
        <v>466</v>
      </c>
      <c r="B364" s="3" t="s">
        <v>1148</v>
      </c>
      <c r="C364" s="3" t="s">
        <v>1315</v>
      </c>
      <c r="D364" s="3" t="s">
        <v>1316</v>
      </c>
      <c r="E364" s="3" t="s">
        <v>1317</v>
      </c>
      <c r="F364" s="79">
        <v>10</v>
      </c>
      <c r="G364" s="3" t="s">
        <v>1221</v>
      </c>
      <c r="H364" s="3" t="s">
        <v>1619</v>
      </c>
      <c r="I364" s="3"/>
      <c r="J364" s="3" t="s">
        <v>1260</v>
      </c>
      <c r="K364" s="3" t="s">
        <v>1318</v>
      </c>
      <c r="L364" s="3" t="s">
        <v>1319</v>
      </c>
      <c r="M364" s="3" t="s">
        <v>1320</v>
      </c>
      <c r="N364" s="3" t="s">
        <v>1626</v>
      </c>
    </row>
    <row r="365" spans="1:14" x14ac:dyDescent="0.45">
      <c r="A365" s="3" t="s">
        <v>466</v>
      </c>
      <c r="B365" s="3" t="s">
        <v>1148</v>
      </c>
      <c r="C365" s="3" t="s">
        <v>1322</v>
      </c>
      <c r="D365" s="3" t="s">
        <v>1323</v>
      </c>
      <c r="E365" s="3" t="s">
        <v>1324</v>
      </c>
      <c r="F365" s="79">
        <v>9</v>
      </c>
      <c r="G365" s="3" t="s">
        <v>1221</v>
      </c>
      <c r="H365" s="3" t="s">
        <v>1619</v>
      </c>
      <c r="I365" s="3"/>
      <c r="J365" s="3" t="s">
        <v>1260</v>
      </c>
      <c r="K365" s="3" t="s">
        <v>1325</v>
      </c>
      <c r="L365" s="3" t="s">
        <v>1326</v>
      </c>
      <c r="M365" s="3" t="s">
        <v>1327</v>
      </c>
      <c r="N365" s="3" t="s">
        <v>1625</v>
      </c>
    </row>
    <row r="366" spans="1:14" x14ac:dyDescent="0.45">
      <c r="A366" s="3" t="s">
        <v>466</v>
      </c>
      <c r="B366" s="3" t="s">
        <v>1148</v>
      </c>
      <c r="C366" s="3" t="s">
        <v>1329</v>
      </c>
      <c r="D366" s="3" t="s">
        <v>1251</v>
      </c>
      <c r="E366" s="3" t="s">
        <v>1324</v>
      </c>
      <c r="F366" s="79">
        <v>30</v>
      </c>
      <c r="G366" s="3" t="s">
        <v>1221</v>
      </c>
      <c r="H366" s="3" t="s">
        <v>1619</v>
      </c>
      <c r="I366" s="3"/>
      <c r="J366" s="3" t="s">
        <v>1260</v>
      </c>
      <c r="K366" s="3" t="s">
        <v>1325</v>
      </c>
      <c r="L366" s="3" t="s">
        <v>1326</v>
      </c>
      <c r="M366" s="3" t="s">
        <v>1327</v>
      </c>
      <c r="N366" s="3" t="s">
        <v>1627</v>
      </c>
    </row>
    <row r="367" spans="1:14" x14ac:dyDescent="0.45">
      <c r="A367" s="3" t="s">
        <v>466</v>
      </c>
      <c r="B367" s="3" t="s">
        <v>1148</v>
      </c>
      <c r="C367" s="3" t="s">
        <v>1331</v>
      </c>
      <c r="D367" s="3" t="s">
        <v>1255</v>
      </c>
      <c r="E367" s="3" t="s">
        <v>1332</v>
      </c>
      <c r="F367" s="79">
        <v>12</v>
      </c>
      <c r="G367" s="3" t="s">
        <v>1221</v>
      </c>
      <c r="H367" s="3" t="s">
        <v>1619</v>
      </c>
      <c r="I367" s="3"/>
      <c r="J367" s="3" t="s">
        <v>1260</v>
      </c>
      <c r="K367" s="3" t="s">
        <v>1333</v>
      </c>
      <c r="L367" s="3" t="s">
        <v>1334</v>
      </c>
      <c r="M367" s="3" t="s">
        <v>1335</v>
      </c>
      <c r="N367" s="3" t="s">
        <v>1573</v>
      </c>
    </row>
    <row r="368" spans="1:14" x14ac:dyDescent="0.45">
      <c r="A368" s="3" t="s">
        <v>466</v>
      </c>
      <c r="B368" s="3" t="s">
        <v>1148</v>
      </c>
      <c r="C368" s="3" t="s">
        <v>1337</v>
      </c>
      <c r="D368" s="3" t="s">
        <v>1338</v>
      </c>
      <c r="E368" s="3" t="s">
        <v>1339</v>
      </c>
      <c r="F368" s="79">
        <v>11</v>
      </c>
      <c r="G368" s="3" t="s">
        <v>1221</v>
      </c>
      <c r="H368" s="3" t="s">
        <v>1619</v>
      </c>
      <c r="I368" s="3"/>
      <c r="J368" s="3" t="s">
        <v>1260</v>
      </c>
      <c r="K368" s="3" t="s">
        <v>1340</v>
      </c>
      <c r="L368" s="3" t="s">
        <v>1341</v>
      </c>
      <c r="M368" s="3" t="s">
        <v>1342</v>
      </c>
      <c r="N368" s="3" t="s">
        <v>1621</v>
      </c>
    </row>
    <row r="369" spans="1:14" x14ac:dyDescent="0.45">
      <c r="A369" s="3" t="s">
        <v>466</v>
      </c>
      <c r="B369" s="3" t="s">
        <v>1148</v>
      </c>
      <c r="C369" s="3" t="s">
        <v>1344</v>
      </c>
      <c r="D369" s="3" t="s">
        <v>1345</v>
      </c>
      <c r="E369" s="3" t="s">
        <v>1346</v>
      </c>
      <c r="F369" s="79">
        <v>13</v>
      </c>
      <c r="G369" s="3" t="s">
        <v>1221</v>
      </c>
      <c r="H369" s="3" t="s">
        <v>1619</v>
      </c>
      <c r="I369" s="3"/>
      <c r="J369" s="3" t="s">
        <v>1260</v>
      </c>
      <c r="K369" s="3" t="s">
        <v>1325</v>
      </c>
      <c r="L369" s="3" t="s">
        <v>1326</v>
      </c>
      <c r="M369" s="3" t="s">
        <v>1327</v>
      </c>
      <c r="N369" s="3" t="s">
        <v>1628</v>
      </c>
    </row>
    <row r="370" spans="1:14" x14ac:dyDescent="0.45">
      <c r="A370" s="3" t="s">
        <v>466</v>
      </c>
      <c r="B370" s="3" t="s">
        <v>1148</v>
      </c>
      <c r="C370" s="3" t="s">
        <v>1348</v>
      </c>
      <c r="D370" s="3" t="s">
        <v>1255</v>
      </c>
      <c r="E370" s="3" t="s">
        <v>1346</v>
      </c>
      <c r="F370" s="79">
        <v>36</v>
      </c>
      <c r="G370" s="3" t="s">
        <v>1221</v>
      </c>
      <c r="H370" s="3" t="s">
        <v>1619</v>
      </c>
      <c r="I370" s="3"/>
      <c r="J370" s="3" t="s">
        <v>1260</v>
      </c>
      <c r="K370" s="3" t="s">
        <v>1325</v>
      </c>
      <c r="L370" s="3" t="s">
        <v>1326</v>
      </c>
      <c r="M370" s="3" t="s">
        <v>1327</v>
      </c>
      <c r="N370" s="3" t="s">
        <v>1420</v>
      </c>
    </row>
    <row r="371" spans="1:14" x14ac:dyDescent="0.45">
      <c r="A371" s="3" t="s">
        <v>466</v>
      </c>
      <c r="B371" s="3" t="s">
        <v>1148</v>
      </c>
      <c r="C371" s="3" t="s">
        <v>1350</v>
      </c>
      <c r="D371" s="3" t="s">
        <v>1351</v>
      </c>
      <c r="E371" s="3" t="s">
        <v>1352</v>
      </c>
      <c r="F371" s="79">
        <v>13</v>
      </c>
      <c r="G371" s="3" t="s">
        <v>1221</v>
      </c>
      <c r="H371" s="3" t="s">
        <v>1619</v>
      </c>
      <c r="I371" s="3"/>
      <c r="J371" s="3" t="s">
        <v>1260</v>
      </c>
      <c r="K371" s="3" t="s">
        <v>1333</v>
      </c>
      <c r="L371" s="3" t="s">
        <v>1334</v>
      </c>
      <c r="M371" s="3" t="s">
        <v>1335</v>
      </c>
      <c r="N371" s="3" t="s">
        <v>1628</v>
      </c>
    </row>
    <row r="372" spans="1:14" x14ac:dyDescent="0.45">
      <c r="A372" s="3" t="s">
        <v>466</v>
      </c>
      <c r="B372" s="3" t="s">
        <v>1148</v>
      </c>
      <c r="C372" s="3" t="s">
        <v>1354</v>
      </c>
      <c r="D372" s="3" t="s">
        <v>1355</v>
      </c>
      <c r="E372" s="3" t="s">
        <v>1356</v>
      </c>
      <c r="F372" s="79">
        <v>11</v>
      </c>
      <c r="G372" s="3" t="s">
        <v>1221</v>
      </c>
      <c r="H372" s="3" t="s">
        <v>1619</v>
      </c>
      <c r="I372" s="3"/>
      <c r="J372" s="3" t="s">
        <v>1260</v>
      </c>
      <c r="K372" s="3" t="s">
        <v>1340</v>
      </c>
      <c r="L372" s="3" t="s">
        <v>1341</v>
      </c>
      <c r="M372" s="3" t="s">
        <v>1342</v>
      </c>
      <c r="N372" s="3" t="s">
        <v>1621</v>
      </c>
    </row>
    <row r="373" spans="1:14" x14ac:dyDescent="0.45">
      <c r="A373" s="3" t="s">
        <v>470</v>
      </c>
      <c r="B373" s="3" t="s">
        <v>471</v>
      </c>
      <c r="C373" s="3" t="s">
        <v>1218</v>
      </c>
      <c r="D373" s="3" t="s">
        <v>1219</v>
      </c>
      <c r="E373" s="3" t="s">
        <v>1220</v>
      </c>
      <c r="F373" s="79">
        <v>-248</v>
      </c>
      <c r="G373" s="3" t="s">
        <v>1221</v>
      </c>
      <c r="H373" s="3" t="s">
        <v>1629</v>
      </c>
      <c r="I373" s="3"/>
      <c r="J373" s="3" t="s">
        <v>1224</v>
      </c>
      <c r="K373" s="3" t="s">
        <v>1225</v>
      </c>
      <c r="L373" s="3" t="s">
        <v>1226</v>
      </c>
      <c r="M373" s="3" t="s">
        <v>1227</v>
      </c>
      <c r="N373" s="3" t="s">
        <v>1630</v>
      </c>
    </row>
    <row r="374" spans="1:14" x14ac:dyDescent="0.45">
      <c r="A374" s="3" t="s">
        <v>470</v>
      </c>
      <c r="B374" s="3" t="s">
        <v>471</v>
      </c>
      <c r="C374" s="3" t="s">
        <v>1229</v>
      </c>
      <c r="D374" s="3" t="s">
        <v>1230</v>
      </c>
      <c r="E374" s="3" t="s">
        <v>1231</v>
      </c>
      <c r="F374" s="79">
        <v>-490</v>
      </c>
      <c r="G374" s="3" t="s">
        <v>1221</v>
      </c>
      <c r="H374" s="3" t="s">
        <v>1629</v>
      </c>
      <c r="I374" s="3"/>
      <c r="J374" s="3" t="s">
        <v>1224</v>
      </c>
      <c r="K374" s="3" t="s">
        <v>1232</v>
      </c>
      <c r="L374" s="3" t="s">
        <v>1233</v>
      </c>
      <c r="M374" s="3" t="s">
        <v>1234</v>
      </c>
      <c r="N374" s="3" t="s">
        <v>1631</v>
      </c>
    </row>
    <row r="375" spans="1:14" x14ac:dyDescent="0.45">
      <c r="A375" s="3" t="s">
        <v>470</v>
      </c>
      <c r="B375" s="3" t="s">
        <v>471</v>
      </c>
      <c r="C375" s="3" t="s">
        <v>1236</v>
      </c>
      <c r="D375" s="3" t="s">
        <v>1237</v>
      </c>
      <c r="E375" s="3" t="s">
        <v>1238</v>
      </c>
      <c r="F375" s="79">
        <v>-277</v>
      </c>
      <c r="G375" s="3" t="s">
        <v>1221</v>
      </c>
      <c r="H375" s="3" t="s">
        <v>1629</v>
      </c>
      <c r="I375" s="3"/>
      <c r="J375" s="3" t="s">
        <v>1224</v>
      </c>
      <c r="K375" s="3" t="s">
        <v>1239</v>
      </c>
      <c r="L375" s="3" t="s">
        <v>1240</v>
      </c>
      <c r="M375" s="3" t="s">
        <v>1241</v>
      </c>
      <c r="N375" s="3" t="s">
        <v>1632</v>
      </c>
    </row>
    <row r="376" spans="1:14" x14ac:dyDescent="0.45">
      <c r="A376" s="3" t="s">
        <v>470</v>
      </c>
      <c r="B376" s="3" t="s">
        <v>471</v>
      </c>
      <c r="C376" s="3" t="s">
        <v>1243</v>
      </c>
      <c r="D376" s="3" t="s">
        <v>1244</v>
      </c>
      <c r="E376" s="3" t="s">
        <v>1245</v>
      </c>
      <c r="F376" s="79">
        <v>-244</v>
      </c>
      <c r="G376" s="3" t="s">
        <v>1221</v>
      </c>
      <c r="H376" s="3" t="s">
        <v>1629</v>
      </c>
      <c r="I376" s="3"/>
      <c r="J376" s="3" t="s">
        <v>1224</v>
      </c>
      <c r="K376" s="3" t="s">
        <v>1246</v>
      </c>
      <c r="L376" s="3" t="s">
        <v>1247</v>
      </c>
      <c r="M376" s="3" t="s">
        <v>1248</v>
      </c>
      <c r="N376" s="3" t="s">
        <v>1633</v>
      </c>
    </row>
    <row r="377" spans="1:14" x14ac:dyDescent="0.45">
      <c r="A377" s="3" t="s">
        <v>470</v>
      </c>
      <c r="B377" s="3" t="s">
        <v>471</v>
      </c>
      <c r="C377" s="3" t="s">
        <v>1250</v>
      </c>
      <c r="D377" s="3" t="s">
        <v>1251</v>
      </c>
      <c r="E377" s="3" t="s">
        <v>1252</v>
      </c>
      <c r="F377" s="79">
        <v>22</v>
      </c>
      <c r="G377" s="3" t="s">
        <v>1221</v>
      </c>
      <c r="H377" s="3" t="s">
        <v>1629</v>
      </c>
      <c r="I377" s="3"/>
      <c r="J377" s="3" t="s">
        <v>1224</v>
      </c>
      <c r="K377" s="3" t="s">
        <v>1246</v>
      </c>
      <c r="L377" s="3" t="s">
        <v>1247</v>
      </c>
      <c r="M377" s="3" t="s">
        <v>1248</v>
      </c>
      <c r="N377" s="3" t="s">
        <v>1634</v>
      </c>
    </row>
    <row r="378" spans="1:14" x14ac:dyDescent="0.45">
      <c r="A378" s="3" t="s">
        <v>470</v>
      </c>
      <c r="B378" s="3" t="s">
        <v>471</v>
      </c>
      <c r="C378" s="3" t="s">
        <v>1254</v>
      </c>
      <c r="D378" s="3" t="s">
        <v>1255</v>
      </c>
      <c r="E378" s="3" t="s">
        <v>1256</v>
      </c>
      <c r="F378" s="79">
        <v>346</v>
      </c>
      <c r="G378" s="3" t="s">
        <v>1221</v>
      </c>
      <c r="H378" s="3" t="s">
        <v>1629</v>
      </c>
      <c r="I378" s="3"/>
      <c r="J378" s="3" t="s">
        <v>1224</v>
      </c>
      <c r="K378" s="3" t="s">
        <v>1246</v>
      </c>
      <c r="L378" s="3" t="s">
        <v>1247</v>
      </c>
      <c r="M378" s="3" t="s">
        <v>1248</v>
      </c>
      <c r="N378" s="3" t="s">
        <v>1505</v>
      </c>
    </row>
    <row r="379" spans="1:14" x14ac:dyDescent="0.45">
      <c r="A379" s="3" t="s">
        <v>470</v>
      </c>
      <c r="B379" s="3" t="s">
        <v>471</v>
      </c>
      <c r="C379" s="3" t="s">
        <v>1258</v>
      </c>
      <c r="D379" s="3" t="s">
        <v>1230</v>
      </c>
      <c r="E379" s="3" t="s">
        <v>1259</v>
      </c>
      <c r="F379" s="79">
        <v>-492</v>
      </c>
      <c r="G379" s="3" t="s">
        <v>1221</v>
      </c>
      <c r="H379" s="3" t="s">
        <v>1629</v>
      </c>
      <c r="I379" s="3"/>
      <c r="J379" s="3" t="s">
        <v>1260</v>
      </c>
      <c r="K379" s="3" t="s">
        <v>1261</v>
      </c>
      <c r="L379" s="3" t="s">
        <v>1262</v>
      </c>
      <c r="M379" s="3" t="s">
        <v>1263</v>
      </c>
      <c r="N379" s="3" t="s">
        <v>1635</v>
      </c>
    </row>
    <row r="380" spans="1:14" x14ac:dyDescent="0.45">
      <c r="A380" s="3" t="s">
        <v>470</v>
      </c>
      <c r="B380" s="3" t="s">
        <v>471</v>
      </c>
      <c r="C380" s="3" t="s">
        <v>1265</v>
      </c>
      <c r="D380" s="3" t="s">
        <v>1237</v>
      </c>
      <c r="E380" s="3" t="s">
        <v>1266</v>
      </c>
      <c r="F380" s="79">
        <v>-23</v>
      </c>
      <c r="G380" s="3" t="s">
        <v>1221</v>
      </c>
      <c r="H380" s="3" t="s">
        <v>1629</v>
      </c>
      <c r="I380" s="3"/>
      <c r="J380" s="3" t="s">
        <v>1260</v>
      </c>
      <c r="K380" s="3" t="s">
        <v>1267</v>
      </c>
      <c r="L380" s="3" t="s">
        <v>1268</v>
      </c>
      <c r="M380" s="3" t="s">
        <v>1269</v>
      </c>
      <c r="N380" s="3" t="s">
        <v>1636</v>
      </c>
    </row>
    <row r="381" spans="1:14" x14ac:dyDescent="0.45">
      <c r="A381" s="3" t="s">
        <v>470</v>
      </c>
      <c r="B381" s="3" t="s">
        <v>471</v>
      </c>
      <c r="C381" s="3" t="s">
        <v>1271</v>
      </c>
      <c r="D381" s="3" t="s">
        <v>1272</v>
      </c>
      <c r="E381" s="3" t="s">
        <v>1273</v>
      </c>
      <c r="F381" s="79">
        <v>-54</v>
      </c>
      <c r="G381" s="3" t="s">
        <v>1221</v>
      </c>
      <c r="H381" s="3" t="s">
        <v>1629</v>
      </c>
      <c r="I381" s="3"/>
      <c r="J381" s="3" t="s">
        <v>1260</v>
      </c>
      <c r="K381" s="3" t="s">
        <v>1274</v>
      </c>
      <c r="L381" s="3" t="s">
        <v>1275</v>
      </c>
      <c r="M381" s="3" t="s">
        <v>1276</v>
      </c>
      <c r="N381" s="3" t="s">
        <v>1637</v>
      </c>
    </row>
    <row r="382" spans="1:14" x14ac:dyDescent="0.45">
      <c r="A382" s="3" t="s">
        <v>470</v>
      </c>
      <c r="B382" s="3" t="s">
        <v>471</v>
      </c>
      <c r="C382" s="3" t="s">
        <v>1278</v>
      </c>
      <c r="D382" s="3" t="s">
        <v>1279</v>
      </c>
      <c r="E382" s="3" t="s">
        <v>1280</v>
      </c>
      <c r="F382" s="79">
        <v>-102</v>
      </c>
      <c r="G382" s="3" t="s">
        <v>1221</v>
      </c>
      <c r="H382" s="3" t="s">
        <v>1629</v>
      </c>
      <c r="I382" s="3"/>
      <c r="J382" s="3" t="s">
        <v>1260</v>
      </c>
      <c r="K382" s="3" t="s">
        <v>1281</v>
      </c>
      <c r="L382" s="3" t="s">
        <v>1282</v>
      </c>
      <c r="M382" s="3" t="s">
        <v>1283</v>
      </c>
      <c r="N382" s="3" t="s">
        <v>1638</v>
      </c>
    </row>
    <row r="383" spans="1:14" x14ac:dyDescent="0.45">
      <c r="A383" s="3" t="s">
        <v>470</v>
      </c>
      <c r="B383" s="3" t="s">
        <v>471</v>
      </c>
      <c r="C383" s="3" t="s">
        <v>1285</v>
      </c>
      <c r="D383" s="3" t="s">
        <v>1237</v>
      </c>
      <c r="E383" s="3" t="s">
        <v>1280</v>
      </c>
      <c r="F383" s="79">
        <v>-179</v>
      </c>
      <c r="G383" s="3" t="s">
        <v>1221</v>
      </c>
      <c r="H383" s="3" t="s">
        <v>1629</v>
      </c>
      <c r="I383" s="3"/>
      <c r="J383" s="3" t="s">
        <v>1260</v>
      </c>
      <c r="K383" s="3" t="s">
        <v>1281</v>
      </c>
      <c r="L383" s="3" t="s">
        <v>1282</v>
      </c>
      <c r="M383" s="3" t="s">
        <v>1283</v>
      </c>
      <c r="N383" s="3" t="s">
        <v>1639</v>
      </c>
    </row>
    <row r="384" spans="1:14" x14ac:dyDescent="0.45">
      <c r="A384" s="3" t="s">
        <v>470</v>
      </c>
      <c r="B384" s="3" t="s">
        <v>471</v>
      </c>
      <c r="C384" s="3" t="s">
        <v>1287</v>
      </c>
      <c r="D384" s="3" t="s">
        <v>1244</v>
      </c>
      <c r="E384" s="3" t="s">
        <v>1288</v>
      </c>
      <c r="F384" s="79">
        <v>-81</v>
      </c>
      <c r="G384" s="3" t="s">
        <v>1221</v>
      </c>
      <c r="H384" s="3" t="s">
        <v>1629</v>
      </c>
      <c r="I384" s="3"/>
      <c r="J384" s="3" t="s">
        <v>1260</v>
      </c>
      <c r="K384" s="3" t="s">
        <v>1289</v>
      </c>
      <c r="L384" s="3" t="s">
        <v>1290</v>
      </c>
      <c r="M384" s="3" t="s">
        <v>1291</v>
      </c>
      <c r="N384" s="3" t="s">
        <v>1640</v>
      </c>
    </row>
    <row r="385" spans="1:14" x14ac:dyDescent="0.45">
      <c r="A385" s="3" t="s">
        <v>470</v>
      </c>
      <c r="B385" s="3" t="s">
        <v>471</v>
      </c>
      <c r="C385" s="3" t="s">
        <v>1293</v>
      </c>
      <c r="D385" s="3" t="s">
        <v>1294</v>
      </c>
      <c r="E385" s="3" t="s">
        <v>1295</v>
      </c>
      <c r="F385" s="79">
        <v>-97</v>
      </c>
      <c r="G385" s="3" t="s">
        <v>1221</v>
      </c>
      <c r="H385" s="3" t="s">
        <v>1629</v>
      </c>
      <c r="I385" s="3"/>
      <c r="J385" s="3" t="s">
        <v>1260</v>
      </c>
      <c r="K385" s="3" t="s">
        <v>1296</v>
      </c>
      <c r="L385" s="3" t="s">
        <v>1297</v>
      </c>
      <c r="M385" s="3" t="s">
        <v>1298</v>
      </c>
      <c r="N385" s="3" t="s">
        <v>1641</v>
      </c>
    </row>
    <row r="386" spans="1:14" x14ac:dyDescent="0.45">
      <c r="A386" s="3" t="s">
        <v>470</v>
      </c>
      <c r="B386" s="3" t="s">
        <v>471</v>
      </c>
      <c r="C386" s="3" t="s">
        <v>1300</v>
      </c>
      <c r="D386" s="3" t="s">
        <v>1301</v>
      </c>
      <c r="E386" s="3" t="s">
        <v>1302</v>
      </c>
      <c r="F386" s="79">
        <v>-31</v>
      </c>
      <c r="G386" s="3" t="s">
        <v>1221</v>
      </c>
      <c r="H386" s="3" t="s">
        <v>1629</v>
      </c>
      <c r="I386" s="3"/>
      <c r="J386" s="3" t="s">
        <v>1260</v>
      </c>
      <c r="K386" s="3" t="s">
        <v>1303</v>
      </c>
      <c r="L386" s="3" t="s">
        <v>1304</v>
      </c>
      <c r="M386" s="3" t="s">
        <v>1305</v>
      </c>
      <c r="N386" s="3" t="s">
        <v>1642</v>
      </c>
    </row>
    <row r="387" spans="1:14" x14ac:dyDescent="0.45">
      <c r="A387" s="3" t="s">
        <v>470</v>
      </c>
      <c r="B387" s="3" t="s">
        <v>471</v>
      </c>
      <c r="C387" s="3" t="s">
        <v>1307</v>
      </c>
      <c r="D387" s="3" t="s">
        <v>1244</v>
      </c>
      <c r="E387" s="3" t="s">
        <v>1302</v>
      </c>
      <c r="F387" s="79">
        <v>-209</v>
      </c>
      <c r="G387" s="3" t="s">
        <v>1221</v>
      </c>
      <c r="H387" s="3" t="s">
        <v>1629</v>
      </c>
      <c r="I387" s="3"/>
      <c r="J387" s="3" t="s">
        <v>1260</v>
      </c>
      <c r="K387" s="3" t="s">
        <v>1303</v>
      </c>
      <c r="L387" s="3" t="s">
        <v>1304</v>
      </c>
      <c r="M387" s="3" t="s">
        <v>1305</v>
      </c>
      <c r="N387" s="3" t="s">
        <v>1643</v>
      </c>
    </row>
    <row r="388" spans="1:14" x14ac:dyDescent="0.45">
      <c r="A388" s="3" t="s">
        <v>470</v>
      </c>
      <c r="B388" s="3" t="s">
        <v>471</v>
      </c>
      <c r="C388" s="3" t="s">
        <v>1309</v>
      </c>
      <c r="D388" s="3" t="s">
        <v>1251</v>
      </c>
      <c r="E388" s="3" t="s">
        <v>1310</v>
      </c>
      <c r="F388" s="79">
        <v>-82</v>
      </c>
      <c r="G388" s="3" t="s">
        <v>1221</v>
      </c>
      <c r="H388" s="3" t="s">
        <v>1629</v>
      </c>
      <c r="I388" s="3"/>
      <c r="J388" s="3" t="s">
        <v>1260</v>
      </c>
      <c r="K388" s="3" t="s">
        <v>1311</v>
      </c>
      <c r="L388" s="3" t="s">
        <v>1312</v>
      </c>
      <c r="M388" s="3" t="s">
        <v>1313</v>
      </c>
      <c r="N388" s="3" t="s">
        <v>1644</v>
      </c>
    </row>
    <row r="389" spans="1:14" x14ac:dyDescent="0.45">
      <c r="A389" s="3" t="s">
        <v>470</v>
      </c>
      <c r="B389" s="3" t="s">
        <v>471</v>
      </c>
      <c r="C389" s="3" t="s">
        <v>1315</v>
      </c>
      <c r="D389" s="3" t="s">
        <v>1316</v>
      </c>
      <c r="E389" s="3" t="s">
        <v>1317</v>
      </c>
      <c r="F389" s="79">
        <v>14</v>
      </c>
      <c r="G389" s="3" t="s">
        <v>1221</v>
      </c>
      <c r="H389" s="3" t="s">
        <v>1629</v>
      </c>
      <c r="I389" s="3"/>
      <c r="J389" s="3" t="s">
        <v>1260</v>
      </c>
      <c r="K389" s="3" t="s">
        <v>1318</v>
      </c>
      <c r="L389" s="3" t="s">
        <v>1319</v>
      </c>
      <c r="M389" s="3" t="s">
        <v>1320</v>
      </c>
      <c r="N389" s="3" t="s">
        <v>1645</v>
      </c>
    </row>
    <row r="390" spans="1:14" x14ac:dyDescent="0.45">
      <c r="A390" s="3" t="s">
        <v>470</v>
      </c>
      <c r="B390" s="3" t="s">
        <v>471</v>
      </c>
      <c r="C390" s="3" t="s">
        <v>1322</v>
      </c>
      <c r="D390" s="3" t="s">
        <v>1323</v>
      </c>
      <c r="E390" s="3" t="s">
        <v>1324</v>
      </c>
      <c r="F390" s="79">
        <v>57</v>
      </c>
      <c r="G390" s="3" t="s">
        <v>1221</v>
      </c>
      <c r="H390" s="3" t="s">
        <v>1629</v>
      </c>
      <c r="I390" s="3"/>
      <c r="J390" s="3" t="s">
        <v>1260</v>
      </c>
      <c r="K390" s="3" t="s">
        <v>1325</v>
      </c>
      <c r="L390" s="3" t="s">
        <v>1326</v>
      </c>
      <c r="M390" s="3" t="s">
        <v>1327</v>
      </c>
      <c r="N390" s="3" t="s">
        <v>1557</v>
      </c>
    </row>
    <row r="391" spans="1:14" x14ac:dyDescent="0.45">
      <c r="A391" s="3" t="s">
        <v>470</v>
      </c>
      <c r="B391" s="3" t="s">
        <v>471</v>
      </c>
      <c r="C391" s="3" t="s">
        <v>1329</v>
      </c>
      <c r="D391" s="3" t="s">
        <v>1251</v>
      </c>
      <c r="E391" s="3" t="s">
        <v>1324</v>
      </c>
      <c r="F391" s="79">
        <v>-10</v>
      </c>
      <c r="G391" s="3" t="s">
        <v>1221</v>
      </c>
      <c r="H391" s="3" t="s">
        <v>1629</v>
      </c>
      <c r="I391" s="3"/>
      <c r="J391" s="3" t="s">
        <v>1260</v>
      </c>
      <c r="K391" s="3" t="s">
        <v>1325</v>
      </c>
      <c r="L391" s="3" t="s">
        <v>1326</v>
      </c>
      <c r="M391" s="3" t="s">
        <v>1327</v>
      </c>
      <c r="N391" s="3" t="s">
        <v>1646</v>
      </c>
    </row>
    <row r="392" spans="1:14" x14ac:dyDescent="0.45">
      <c r="A392" s="3" t="s">
        <v>470</v>
      </c>
      <c r="B392" s="3" t="s">
        <v>471</v>
      </c>
      <c r="C392" s="3" t="s">
        <v>1331</v>
      </c>
      <c r="D392" s="3" t="s">
        <v>1255</v>
      </c>
      <c r="E392" s="3" t="s">
        <v>1332</v>
      </c>
      <c r="F392" s="79">
        <v>58</v>
      </c>
      <c r="G392" s="3" t="s">
        <v>1221</v>
      </c>
      <c r="H392" s="3" t="s">
        <v>1629</v>
      </c>
      <c r="I392" s="3"/>
      <c r="J392" s="3" t="s">
        <v>1260</v>
      </c>
      <c r="K392" s="3" t="s">
        <v>1333</v>
      </c>
      <c r="L392" s="3" t="s">
        <v>1334</v>
      </c>
      <c r="M392" s="3" t="s">
        <v>1335</v>
      </c>
      <c r="N392" s="3" t="s">
        <v>1647</v>
      </c>
    </row>
    <row r="393" spans="1:14" x14ac:dyDescent="0.45">
      <c r="A393" s="3" t="s">
        <v>470</v>
      </c>
      <c r="B393" s="3" t="s">
        <v>471</v>
      </c>
      <c r="C393" s="3" t="s">
        <v>1337</v>
      </c>
      <c r="D393" s="3" t="s">
        <v>1338</v>
      </c>
      <c r="E393" s="3" t="s">
        <v>1339</v>
      </c>
      <c r="F393" s="79">
        <v>83</v>
      </c>
      <c r="G393" s="3" t="s">
        <v>1221</v>
      </c>
      <c r="H393" s="3" t="s">
        <v>1629</v>
      </c>
      <c r="I393" s="3"/>
      <c r="J393" s="3" t="s">
        <v>1260</v>
      </c>
      <c r="K393" s="3" t="s">
        <v>1340</v>
      </c>
      <c r="L393" s="3" t="s">
        <v>1341</v>
      </c>
      <c r="M393" s="3" t="s">
        <v>1342</v>
      </c>
      <c r="N393" s="3" t="s">
        <v>1545</v>
      </c>
    </row>
    <row r="394" spans="1:14" x14ac:dyDescent="0.45">
      <c r="A394" s="3" t="s">
        <v>470</v>
      </c>
      <c r="B394" s="3" t="s">
        <v>471</v>
      </c>
      <c r="C394" s="3" t="s">
        <v>1344</v>
      </c>
      <c r="D394" s="3" t="s">
        <v>1345</v>
      </c>
      <c r="E394" s="3" t="s">
        <v>1346</v>
      </c>
      <c r="F394" s="79">
        <v>104</v>
      </c>
      <c r="G394" s="3" t="s">
        <v>1221</v>
      </c>
      <c r="H394" s="3" t="s">
        <v>1629</v>
      </c>
      <c r="I394" s="3"/>
      <c r="J394" s="3" t="s">
        <v>1260</v>
      </c>
      <c r="K394" s="3" t="s">
        <v>1325</v>
      </c>
      <c r="L394" s="3" t="s">
        <v>1326</v>
      </c>
      <c r="M394" s="3" t="s">
        <v>1327</v>
      </c>
      <c r="N394" s="3" t="s">
        <v>1648</v>
      </c>
    </row>
    <row r="395" spans="1:14" x14ac:dyDescent="0.45">
      <c r="A395" s="3" t="s">
        <v>470</v>
      </c>
      <c r="B395" s="3" t="s">
        <v>471</v>
      </c>
      <c r="C395" s="3" t="s">
        <v>1348</v>
      </c>
      <c r="D395" s="3" t="s">
        <v>1255</v>
      </c>
      <c r="E395" s="3" t="s">
        <v>1346</v>
      </c>
      <c r="F395" s="79">
        <v>245</v>
      </c>
      <c r="G395" s="3" t="s">
        <v>1221</v>
      </c>
      <c r="H395" s="3" t="s">
        <v>1629</v>
      </c>
      <c r="I395" s="3"/>
      <c r="J395" s="3" t="s">
        <v>1260</v>
      </c>
      <c r="K395" s="3" t="s">
        <v>1325</v>
      </c>
      <c r="L395" s="3" t="s">
        <v>1326</v>
      </c>
      <c r="M395" s="3" t="s">
        <v>1327</v>
      </c>
      <c r="N395" s="3" t="s">
        <v>1649</v>
      </c>
    </row>
    <row r="396" spans="1:14" x14ac:dyDescent="0.45">
      <c r="A396" s="3" t="s">
        <v>470</v>
      </c>
      <c r="B396" s="3" t="s">
        <v>471</v>
      </c>
      <c r="C396" s="3" t="s">
        <v>1350</v>
      </c>
      <c r="D396" s="3" t="s">
        <v>1351</v>
      </c>
      <c r="E396" s="3" t="s">
        <v>1352</v>
      </c>
      <c r="F396" s="79">
        <v>131</v>
      </c>
      <c r="G396" s="3" t="s">
        <v>1221</v>
      </c>
      <c r="H396" s="3" t="s">
        <v>1629</v>
      </c>
      <c r="I396" s="3"/>
      <c r="J396" s="3" t="s">
        <v>1260</v>
      </c>
      <c r="K396" s="3" t="s">
        <v>1333</v>
      </c>
      <c r="L396" s="3" t="s">
        <v>1334</v>
      </c>
      <c r="M396" s="3" t="s">
        <v>1335</v>
      </c>
      <c r="N396" s="3" t="s">
        <v>1306</v>
      </c>
    </row>
    <row r="397" spans="1:14" x14ac:dyDescent="0.45">
      <c r="A397" s="3" t="s">
        <v>470</v>
      </c>
      <c r="B397" s="3" t="s">
        <v>471</v>
      </c>
      <c r="C397" s="3" t="s">
        <v>1354</v>
      </c>
      <c r="D397" s="3" t="s">
        <v>1355</v>
      </c>
      <c r="E397" s="3" t="s">
        <v>1356</v>
      </c>
      <c r="F397" s="79">
        <v>162</v>
      </c>
      <c r="G397" s="3" t="s">
        <v>1221</v>
      </c>
      <c r="H397" s="3" t="s">
        <v>1629</v>
      </c>
      <c r="I397" s="3"/>
      <c r="J397" s="3" t="s">
        <v>1260</v>
      </c>
      <c r="K397" s="3" t="s">
        <v>1340</v>
      </c>
      <c r="L397" s="3" t="s">
        <v>1341</v>
      </c>
      <c r="M397" s="3" t="s">
        <v>1342</v>
      </c>
      <c r="N397" s="3" t="s">
        <v>1650</v>
      </c>
    </row>
    <row r="398" spans="1:14" x14ac:dyDescent="0.45">
      <c r="A398" s="3" t="s">
        <v>472</v>
      </c>
      <c r="B398" s="3" t="s">
        <v>473</v>
      </c>
      <c r="C398" s="3" t="s">
        <v>1218</v>
      </c>
      <c r="D398" s="3" t="s">
        <v>1219</v>
      </c>
      <c r="E398" s="3" t="s">
        <v>1220</v>
      </c>
      <c r="F398" s="79">
        <v>0</v>
      </c>
      <c r="G398" s="3" t="s">
        <v>1221</v>
      </c>
      <c r="H398" s="3" t="s">
        <v>1651</v>
      </c>
      <c r="I398" s="3"/>
      <c r="J398" s="3" t="s">
        <v>1224</v>
      </c>
      <c r="K398" s="3" t="s">
        <v>1225</v>
      </c>
      <c r="L398" s="3" t="s">
        <v>1226</v>
      </c>
      <c r="M398" s="3" t="s">
        <v>1227</v>
      </c>
      <c r="N398" s="3" t="s">
        <v>1571</v>
      </c>
    </row>
    <row r="399" spans="1:14" x14ac:dyDescent="0.45">
      <c r="A399" s="3" t="s">
        <v>472</v>
      </c>
      <c r="B399" s="3" t="s">
        <v>473</v>
      </c>
      <c r="C399" s="3" t="s">
        <v>1229</v>
      </c>
      <c r="D399" s="3" t="s">
        <v>1230</v>
      </c>
      <c r="E399" s="3" t="s">
        <v>1231</v>
      </c>
      <c r="F399" s="79">
        <v>-3</v>
      </c>
      <c r="G399" s="3" t="s">
        <v>1221</v>
      </c>
      <c r="H399" s="3" t="s">
        <v>1651</v>
      </c>
      <c r="I399" s="3"/>
      <c r="J399" s="3" t="s">
        <v>1224</v>
      </c>
      <c r="K399" s="3" t="s">
        <v>1232</v>
      </c>
      <c r="L399" s="3" t="s">
        <v>1233</v>
      </c>
      <c r="M399" s="3" t="s">
        <v>1234</v>
      </c>
      <c r="N399" s="3" t="s">
        <v>1652</v>
      </c>
    </row>
    <row r="400" spans="1:14" x14ac:dyDescent="0.45">
      <c r="A400" s="3" t="s">
        <v>472</v>
      </c>
      <c r="B400" s="3" t="s">
        <v>473</v>
      </c>
      <c r="C400" s="3" t="s">
        <v>1236</v>
      </c>
      <c r="D400" s="3" t="s">
        <v>1237</v>
      </c>
      <c r="E400" s="3" t="s">
        <v>1238</v>
      </c>
      <c r="F400" s="79">
        <v>-2</v>
      </c>
      <c r="G400" s="3" t="s">
        <v>1221</v>
      </c>
      <c r="H400" s="3" t="s">
        <v>1651</v>
      </c>
      <c r="I400" s="3"/>
      <c r="J400" s="3" t="s">
        <v>1224</v>
      </c>
      <c r="K400" s="3" t="s">
        <v>1239</v>
      </c>
      <c r="L400" s="3" t="s">
        <v>1240</v>
      </c>
      <c r="M400" s="3" t="s">
        <v>1241</v>
      </c>
      <c r="N400" s="3" t="s">
        <v>1653</v>
      </c>
    </row>
    <row r="401" spans="1:14" x14ac:dyDescent="0.45">
      <c r="A401" s="3" t="s">
        <v>472</v>
      </c>
      <c r="B401" s="3" t="s">
        <v>473</v>
      </c>
      <c r="C401" s="3" t="s">
        <v>1243</v>
      </c>
      <c r="D401" s="3" t="s">
        <v>1244</v>
      </c>
      <c r="E401" s="3" t="s">
        <v>1245</v>
      </c>
      <c r="F401" s="79">
        <v>2</v>
      </c>
      <c r="G401" s="3" t="s">
        <v>1221</v>
      </c>
      <c r="H401" s="3" t="s">
        <v>1651</v>
      </c>
      <c r="I401" s="3"/>
      <c r="J401" s="3" t="s">
        <v>1224</v>
      </c>
      <c r="K401" s="3" t="s">
        <v>1246</v>
      </c>
      <c r="L401" s="3" t="s">
        <v>1247</v>
      </c>
      <c r="M401" s="3" t="s">
        <v>1248</v>
      </c>
      <c r="N401" s="3" t="s">
        <v>1654</v>
      </c>
    </row>
    <row r="402" spans="1:14" x14ac:dyDescent="0.45">
      <c r="A402" s="3" t="s">
        <v>472</v>
      </c>
      <c r="B402" s="3" t="s">
        <v>473</v>
      </c>
      <c r="C402" s="3" t="s">
        <v>1250</v>
      </c>
      <c r="D402" s="3" t="s">
        <v>1251</v>
      </c>
      <c r="E402" s="3" t="s">
        <v>1252</v>
      </c>
      <c r="F402" s="79">
        <v>3</v>
      </c>
      <c r="G402" s="3" t="s">
        <v>1221</v>
      </c>
      <c r="H402" s="3" t="s">
        <v>1651</v>
      </c>
      <c r="I402" s="3"/>
      <c r="J402" s="3" t="s">
        <v>1224</v>
      </c>
      <c r="K402" s="3" t="s">
        <v>1246</v>
      </c>
      <c r="L402" s="3" t="s">
        <v>1247</v>
      </c>
      <c r="M402" s="3" t="s">
        <v>1248</v>
      </c>
      <c r="N402" s="3" t="s">
        <v>1461</v>
      </c>
    </row>
    <row r="403" spans="1:14" x14ac:dyDescent="0.45">
      <c r="A403" s="3" t="s">
        <v>472</v>
      </c>
      <c r="B403" s="3" t="s">
        <v>473</v>
      </c>
      <c r="C403" s="3" t="s">
        <v>1254</v>
      </c>
      <c r="D403" s="3" t="s">
        <v>1255</v>
      </c>
      <c r="E403" s="3" t="s">
        <v>1256</v>
      </c>
      <c r="F403" s="79">
        <v>4</v>
      </c>
      <c r="G403" s="3" t="s">
        <v>1221</v>
      </c>
      <c r="H403" s="3" t="s">
        <v>1651</v>
      </c>
      <c r="I403" s="3"/>
      <c r="J403" s="3" t="s">
        <v>1224</v>
      </c>
      <c r="K403" s="3" t="s">
        <v>1246</v>
      </c>
      <c r="L403" s="3" t="s">
        <v>1247</v>
      </c>
      <c r="M403" s="3" t="s">
        <v>1248</v>
      </c>
      <c r="N403" s="3" t="s">
        <v>1459</v>
      </c>
    </row>
    <row r="404" spans="1:14" x14ac:dyDescent="0.45">
      <c r="A404" s="3" t="s">
        <v>472</v>
      </c>
      <c r="B404" s="3" t="s">
        <v>473</v>
      </c>
      <c r="C404" s="3" t="s">
        <v>1258</v>
      </c>
      <c r="D404" s="3" t="s">
        <v>1230</v>
      </c>
      <c r="E404" s="3" t="s">
        <v>1259</v>
      </c>
      <c r="F404" s="79">
        <v>-4</v>
      </c>
      <c r="G404" s="3" t="s">
        <v>1221</v>
      </c>
      <c r="H404" s="3" t="s">
        <v>1651</v>
      </c>
      <c r="I404" s="3"/>
      <c r="J404" s="3" t="s">
        <v>1260</v>
      </c>
      <c r="K404" s="3" t="s">
        <v>1261</v>
      </c>
      <c r="L404" s="3" t="s">
        <v>1262</v>
      </c>
      <c r="M404" s="3" t="s">
        <v>1263</v>
      </c>
      <c r="N404" s="3" t="s">
        <v>1655</v>
      </c>
    </row>
    <row r="405" spans="1:14" x14ac:dyDescent="0.45">
      <c r="A405" s="3" t="s">
        <v>472</v>
      </c>
      <c r="B405" s="3" t="s">
        <v>473</v>
      </c>
      <c r="C405" s="3" t="s">
        <v>1265</v>
      </c>
      <c r="D405" s="3" t="s">
        <v>1237</v>
      </c>
      <c r="E405" s="3" t="s">
        <v>1266</v>
      </c>
      <c r="F405" s="79">
        <v>0</v>
      </c>
      <c r="G405" s="3" t="s">
        <v>1221</v>
      </c>
      <c r="H405" s="3" t="s">
        <v>1651</v>
      </c>
      <c r="I405" s="3"/>
      <c r="J405" s="3" t="s">
        <v>1260</v>
      </c>
      <c r="K405" s="3" t="s">
        <v>1267</v>
      </c>
      <c r="L405" s="3" t="s">
        <v>1268</v>
      </c>
      <c r="M405" s="3" t="s">
        <v>1269</v>
      </c>
      <c r="N405" s="3" t="s">
        <v>1571</v>
      </c>
    </row>
    <row r="406" spans="1:14" x14ac:dyDescent="0.45">
      <c r="A406" s="3" t="s">
        <v>472</v>
      </c>
      <c r="B406" s="3" t="s">
        <v>473</v>
      </c>
      <c r="C406" s="3" t="s">
        <v>1271</v>
      </c>
      <c r="D406" s="3" t="s">
        <v>1272</v>
      </c>
      <c r="E406" s="3" t="s">
        <v>1273</v>
      </c>
      <c r="F406" s="79">
        <v>0</v>
      </c>
      <c r="G406" s="3" t="s">
        <v>1221</v>
      </c>
      <c r="H406" s="3" t="s">
        <v>1651</v>
      </c>
      <c r="I406" s="3"/>
      <c r="J406" s="3" t="s">
        <v>1260</v>
      </c>
      <c r="K406" s="3" t="s">
        <v>1274</v>
      </c>
      <c r="L406" s="3" t="s">
        <v>1275</v>
      </c>
      <c r="M406" s="3" t="s">
        <v>1276</v>
      </c>
      <c r="N406" s="3" t="s">
        <v>1571</v>
      </c>
    </row>
    <row r="407" spans="1:14" x14ac:dyDescent="0.45">
      <c r="A407" s="3" t="s">
        <v>472</v>
      </c>
      <c r="B407" s="3" t="s">
        <v>473</v>
      </c>
      <c r="C407" s="3" t="s">
        <v>1278</v>
      </c>
      <c r="D407" s="3" t="s">
        <v>1279</v>
      </c>
      <c r="E407" s="3" t="s">
        <v>1280</v>
      </c>
      <c r="F407" s="79">
        <v>-4</v>
      </c>
      <c r="G407" s="3" t="s">
        <v>1221</v>
      </c>
      <c r="H407" s="3" t="s">
        <v>1651</v>
      </c>
      <c r="I407" s="3"/>
      <c r="J407" s="3" t="s">
        <v>1260</v>
      </c>
      <c r="K407" s="3" t="s">
        <v>1281</v>
      </c>
      <c r="L407" s="3" t="s">
        <v>1282</v>
      </c>
      <c r="M407" s="3" t="s">
        <v>1283</v>
      </c>
      <c r="N407" s="3" t="s">
        <v>1655</v>
      </c>
    </row>
    <row r="408" spans="1:14" x14ac:dyDescent="0.45">
      <c r="A408" s="3" t="s">
        <v>472</v>
      </c>
      <c r="B408" s="3" t="s">
        <v>473</v>
      </c>
      <c r="C408" s="3" t="s">
        <v>1285</v>
      </c>
      <c r="D408" s="3" t="s">
        <v>1237</v>
      </c>
      <c r="E408" s="3" t="s">
        <v>1280</v>
      </c>
      <c r="F408" s="79">
        <v>-4</v>
      </c>
      <c r="G408" s="3" t="s">
        <v>1221</v>
      </c>
      <c r="H408" s="3" t="s">
        <v>1651</v>
      </c>
      <c r="I408" s="3"/>
      <c r="J408" s="3" t="s">
        <v>1260</v>
      </c>
      <c r="K408" s="3" t="s">
        <v>1281</v>
      </c>
      <c r="L408" s="3" t="s">
        <v>1282</v>
      </c>
      <c r="M408" s="3" t="s">
        <v>1283</v>
      </c>
      <c r="N408" s="3" t="s">
        <v>1655</v>
      </c>
    </row>
    <row r="409" spans="1:14" x14ac:dyDescent="0.45">
      <c r="A409" s="3" t="s">
        <v>472</v>
      </c>
      <c r="B409" s="3" t="s">
        <v>473</v>
      </c>
      <c r="C409" s="3" t="s">
        <v>1287</v>
      </c>
      <c r="D409" s="3" t="s">
        <v>1244</v>
      </c>
      <c r="E409" s="3" t="s">
        <v>1288</v>
      </c>
      <c r="F409" s="79">
        <v>0</v>
      </c>
      <c r="G409" s="3" t="s">
        <v>1221</v>
      </c>
      <c r="H409" s="3" t="s">
        <v>1651</v>
      </c>
      <c r="I409" s="3"/>
      <c r="J409" s="3" t="s">
        <v>1260</v>
      </c>
      <c r="K409" s="3" t="s">
        <v>1289</v>
      </c>
      <c r="L409" s="3" t="s">
        <v>1290</v>
      </c>
      <c r="M409" s="3" t="s">
        <v>1291</v>
      </c>
      <c r="N409" s="3" t="s">
        <v>1571</v>
      </c>
    </row>
    <row r="410" spans="1:14" x14ac:dyDescent="0.45">
      <c r="A410" s="3" t="s">
        <v>472</v>
      </c>
      <c r="B410" s="3" t="s">
        <v>473</v>
      </c>
      <c r="C410" s="3" t="s">
        <v>1293</v>
      </c>
      <c r="D410" s="3" t="s">
        <v>1294</v>
      </c>
      <c r="E410" s="3" t="s">
        <v>1295</v>
      </c>
      <c r="F410" s="79">
        <v>1</v>
      </c>
      <c r="G410" s="3" t="s">
        <v>1221</v>
      </c>
      <c r="H410" s="3" t="s">
        <v>1651</v>
      </c>
      <c r="I410" s="3"/>
      <c r="J410" s="3" t="s">
        <v>1260</v>
      </c>
      <c r="K410" s="3" t="s">
        <v>1296</v>
      </c>
      <c r="L410" s="3" t="s">
        <v>1297</v>
      </c>
      <c r="M410" s="3" t="s">
        <v>1298</v>
      </c>
      <c r="N410" s="3" t="s">
        <v>1462</v>
      </c>
    </row>
    <row r="411" spans="1:14" x14ac:dyDescent="0.45">
      <c r="A411" s="3" t="s">
        <v>472</v>
      </c>
      <c r="B411" s="3" t="s">
        <v>473</v>
      </c>
      <c r="C411" s="3" t="s">
        <v>1300</v>
      </c>
      <c r="D411" s="3" t="s">
        <v>1301</v>
      </c>
      <c r="E411" s="3" t="s">
        <v>1302</v>
      </c>
      <c r="F411" s="79">
        <v>0</v>
      </c>
      <c r="G411" s="3" t="s">
        <v>1221</v>
      </c>
      <c r="H411" s="3" t="s">
        <v>1651</v>
      </c>
      <c r="I411" s="3"/>
      <c r="J411" s="3" t="s">
        <v>1260</v>
      </c>
      <c r="K411" s="3" t="s">
        <v>1303</v>
      </c>
      <c r="L411" s="3" t="s">
        <v>1304</v>
      </c>
      <c r="M411" s="3" t="s">
        <v>1305</v>
      </c>
      <c r="N411" s="3" t="s">
        <v>1571</v>
      </c>
    </row>
    <row r="412" spans="1:14" x14ac:dyDescent="0.45">
      <c r="A412" s="3" t="s">
        <v>472</v>
      </c>
      <c r="B412" s="3" t="s">
        <v>473</v>
      </c>
      <c r="C412" s="3" t="s">
        <v>1307</v>
      </c>
      <c r="D412" s="3" t="s">
        <v>1244</v>
      </c>
      <c r="E412" s="3" t="s">
        <v>1302</v>
      </c>
      <c r="F412" s="79">
        <v>1</v>
      </c>
      <c r="G412" s="3" t="s">
        <v>1221</v>
      </c>
      <c r="H412" s="3" t="s">
        <v>1651</v>
      </c>
      <c r="I412" s="3"/>
      <c r="J412" s="3" t="s">
        <v>1260</v>
      </c>
      <c r="K412" s="3" t="s">
        <v>1303</v>
      </c>
      <c r="L412" s="3" t="s">
        <v>1304</v>
      </c>
      <c r="M412" s="3" t="s">
        <v>1305</v>
      </c>
      <c r="N412" s="3" t="s">
        <v>1462</v>
      </c>
    </row>
    <row r="413" spans="1:14" x14ac:dyDescent="0.45">
      <c r="A413" s="3" t="s">
        <v>472</v>
      </c>
      <c r="B413" s="3" t="s">
        <v>473</v>
      </c>
      <c r="C413" s="3" t="s">
        <v>1309</v>
      </c>
      <c r="D413" s="3" t="s">
        <v>1251</v>
      </c>
      <c r="E413" s="3" t="s">
        <v>1310</v>
      </c>
      <c r="F413" s="79">
        <v>1</v>
      </c>
      <c r="G413" s="3" t="s">
        <v>1221</v>
      </c>
      <c r="H413" s="3" t="s">
        <v>1651</v>
      </c>
      <c r="I413" s="3"/>
      <c r="J413" s="3" t="s">
        <v>1260</v>
      </c>
      <c r="K413" s="3" t="s">
        <v>1311</v>
      </c>
      <c r="L413" s="3" t="s">
        <v>1312</v>
      </c>
      <c r="M413" s="3" t="s">
        <v>1313</v>
      </c>
      <c r="N413" s="3" t="s">
        <v>1462</v>
      </c>
    </row>
    <row r="414" spans="1:14" x14ac:dyDescent="0.45">
      <c r="A414" s="3" t="s">
        <v>472</v>
      </c>
      <c r="B414" s="3" t="s">
        <v>473</v>
      </c>
      <c r="C414" s="3" t="s">
        <v>1315</v>
      </c>
      <c r="D414" s="3" t="s">
        <v>1316</v>
      </c>
      <c r="E414" s="3" t="s">
        <v>1317</v>
      </c>
      <c r="F414" s="79">
        <v>0</v>
      </c>
      <c r="G414" s="3" t="s">
        <v>1221</v>
      </c>
      <c r="H414" s="3" t="s">
        <v>1651</v>
      </c>
      <c r="I414" s="3"/>
      <c r="J414" s="3" t="s">
        <v>1260</v>
      </c>
      <c r="K414" s="3" t="s">
        <v>1318</v>
      </c>
      <c r="L414" s="3" t="s">
        <v>1319</v>
      </c>
      <c r="M414" s="3" t="s">
        <v>1320</v>
      </c>
      <c r="N414" s="3" t="s">
        <v>1571</v>
      </c>
    </row>
    <row r="415" spans="1:14" x14ac:dyDescent="0.45">
      <c r="A415" s="3" t="s">
        <v>472</v>
      </c>
      <c r="B415" s="3" t="s">
        <v>473</v>
      </c>
      <c r="C415" s="3" t="s">
        <v>1322</v>
      </c>
      <c r="D415" s="3" t="s">
        <v>1323</v>
      </c>
      <c r="E415" s="3" t="s">
        <v>1324</v>
      </c>
      <c r="F415" s="79">
        <v>1</v>
      </c>
      <c r="G415" s="3" t="s">
        <v>1221</v>
      </c>
      <c r="H415" s="3" t="s">
        <v>1651</v>
      </c>
      <c r="I415" s="3"/>
      <c r="J415" s="3" t="s">
        <v>1260</v>
      </c>
      <c r="K415" s="3" t="s">
        <v>1325</v>
      </c>
      <c r="L415" s="3" t="s">
        <v>1326</v>
      </c>
      <c r="M415" s="3" t="s">
        <v>1327</v>
      </c>
      <c r="N415" s="3" t="s">
        <v>1462</v>
      </c>
    </row>
    <row r="416" spans="1:14" x14ac:dyDescent="0.45">
      <c r="A416" s="3" t="s">
        <v>472</v>
      </c>
      <c r="B416" s="3" t="s">
        <v>473</v>
      </c>
      <c r="C416" s="3" t="s">
        <v>1329</v>
      </c>
      <c r="D416" s="3" t="s">
        <v>1251</v>
      </c>
      <c r="E416" s="3" t="s">
        <v>1324</v>
      </c>
      <c r="F416" s="79">
        <v>3</v>
      </c>
      <c r="G416" s="3" t="s">
        <v>1221</v>
      </c>
      <c r="H416" s="3" t="s">
        <v>1651</v>
      </c>
      <c r="I416" s="3"/>
      <c r="J416" s="3" t="s">
        <v>1260</v>
      </c>
      <c r="K416" s="3" t="s">
        <v>1325</v>
      </c>
      <c r="L416" s="3" t="s">
        <v>1326</v>
      </c>
      <c r="M416" s="3" t="s">
        <v>1327</v>
      </c>
      <c r="N416" s="3" t="s">
        <v>1461</v>
      </c>
    </row>
    <row r="417" spans="1:14" x14ac:dyDescent="0.45">
      <c r="A417" s="3" t="s">
        <v>472</v>
      </c>
      <c r="B417" s="3" t="s">
        <v>473</v>
      </c>
      <c r="C417" s="3" t="s">
        <v>1331</v>
      </c>
      <c r="D417" s="3" t="s">
        <v>1255</v>
      </c>
      <c r="E417" s="3" t="s">
        <v>1332</v>
      </c>
      <c r="F417" s="79">
        <v>2</v>
      </c>
      <c r="G417" s="3" t="s">
        <v>1221</v>
      </c>
      <c r="H417" s="3" t="s">
        <v>1651</v>
      </c>
      <c r="I417" s="3"/>
      <c r="J417" s="3" t="s">
        <v>1260</v>
      </c>
      <c r="K417" s="3" t="s">
        <v>1333</v>
      </c>
      <c r="L417" s="3" t="s">
        <v>1334</v>
      </c>
      <c r="M417" s="3" t="s">
        <v>1335</v>
      </c>
      <c r="N417" s="3" t="s">
        <v>1654</v>
      </c>
    </row>
    <row r="418" spans="1:14" x14ac:dyDescent="0.45">
      <c r="A418" s="3" t="s">
        <v>472</v>
      </c>
      <c r="B418" s="3" t="s">
        <v>473</v>
      </c>
      <c r="C418" s="3" t="s">
        <v>1337</v>
      </c>
      <c r="D418" s="3" t="s">
        <v>1338</v>
      </c>
      <c r="E418" s="3" t="s">
        <v>1339</v>
      </c>
      <c r="F418" s="79">
        <v>3</v>
      </c>
      <c r="G418" s="3" t="s">
        <v>1221</v>
      </c>
      <c r="H418" s="3" t="s">
        <v>1651</v>
      </c>
      <c r="I418" s="3"/>
      <c r="J418" s="3" t="s">
        <v>1260</v>
      </c>
      <c r="K418" s="3" t="s">
        <v>1340</v>
      </c>
      <c r="L418" s="3" t="s">
        <v>1341</v>
      </c>
      <c r="M418" s="3" t="s">
        <v>1342</v>
      </c>
      <c r="N418" s="3" t="s">
        <v>1461</v>
      </c>
    </row>
    <row r="419" spans="1:14" x14ac:dyDescent="0.45">
      <c r="A419" s="3" t="s">
        <v>472</v>
      </c>
      <c r="B419" s="3" t="s">
        <v>473</v>
      </c>
      <c r="C419" s="3" t="s">
        <v>1344</v>
      </c>
      <c r="D419" s="3" t="s">
        <v>1345</v>
      </c>
      <c r="E419" s="3" t="s">
        <v>1346</v>
      </c>
      <c r="F419" s="79">
        <v>-1</v>
      </c>
      <c r="G419" s="3" t="s">
        <v>1221</v>
      </c>
      <c r="H419" s="3" t="s">
        <v>1651</v>
      </c>
      <c r="I419" s="3"/>
      <c r="J419" s="3" t="s">
        <v>1260</v>
      </c>
      <c r="K419" s="3" t="s">
        <v>1325</v>
      </c>
      <c r="L419" s="3" t="s">
        <v>1326</v>
      </c>
      <c r="M419" s="3" t="s">
        <v>1327</v>
      </c>
      <c r="N419" s="3" t="s">
        <v>1656</v>
      </c>
    </row>
    <row r="420" spans="1:14" x14ac:dyDescent="0.45">
      <c r="A420" s="3" t="s">
        <v>472</v>
      </c>
      <c r="B420" s="3" t="s">
        <v>473</v>
      </c>
      <c r="C420" s="3" t="s">
        <v>1348</v>
      </c>
      <c r="D420" s="3" t="s">
        <v>1255</v>
      </c>
      <c r="E420" s="3" t="s">
        <v>1346</v>
      </c>
      <c r="F420" s="79">
        <v>4</v>
      </c>
      <c r="G420" s="3" t="s">
        <v>1221</v>
      </c>
      <c r="H420" s="3" t="s">
        <v>1651</v>
      </c>
      <c r="I420" s="3"/>
      <c r="J420" s="3" t="s">
        <v>1260</v>
      </c>
      <c r="K420" s="3" t="s">
        <v>1325</v>
      </c>
      <c r="L420" s="3" t="s">
        <v>1326</v>
      </c>
      <c r="M420" s="3" t="s">
        <v>1327</v>
      </c>
      <c r="N420" s="3" t="s">
        <v>1459</v>
      </c>
    </row>
    <row r="421" spans="1:14" x14ac:dyDescent="0.45">
      <c r="A421" s="3" t="s">
        <v>472</v>
      </c>
      <c r="B421" s="3" t="s">
        <v>473</v>
      </c>
      <c r="C421" s="3" t="s">
        <v>1350</v>
      </c>
      <c r="D421" s="3" t="s">
        <v>1351</v>
      </c>
      <c r="E421" s="3" t="s">
        <v>1352</v>
      </c>
      <c r="F421" s="79">
        <v>5</v>
      </c>
      <c r="G421" s="3" t="s">
        <v>1221</v>
      </c>
      <c r="H421" s="3" t="s">
        <v>1651</v>
      </c>
      <c r="I421" s="3"/>
      <c r="J421" s="3" t="s">
        <v>1260</v>
      </c>
      <c r="K421" s="3" t="s">
        <v>1333</v>
      </c>
      <c r="L421" s="3" t="s">
        <v>1334</v>
      </c>
      <c r="M421" s="3" t="s">
        <v>1335</v>
      </c>
      <c r="N421" s="3" t="s">
        <v>1460</v>
      </c>
    </row>
    <row r="422" spans="1:14" x14ac:dyDescent="0.45">
      <c r="A422" s="3" t="s">
        <v>472</v>
      </c>
      <c r="B422" s="3" t="s">
        <v>473</v>
      </c>
      <c r="C422" s="3" t="s">
        <v>1354</v>
      </c>
      <c r="D422" s="3" t="s">
        <v>1355</v>
      </c>
      <c r="E422" s="3" t="s">
        <v>1356</v>
      </c>
      <c r="F422" s="79">
        <v>8</v>
      </c>
      <c r="G422" s="3" t="s">
        <v>1221</v>
      </c>
      <c r="H422" s="3" t="s">
        <v>1651</v>
      </c>
      <c r="I422" s="3"/>
      <c r="J422" s="3" t="s">
        <v>1260</v>
      </c>
      <c r="K422" s="3" t="s">
        <v>1340</v>
      </c>
      <c r="L422" s="3" t="s">
        <v>1341</v>
      </c>
      <c r="M422" s="3" t="s">
        <v>1342</v>
      </c>
      <c r="N422" s="3" t="s">
        <v>1575</v>
      </c>
    </row>
    <row r="423" spans="1:14" x14ac:dyDescent="0.45">
      <c r="A423" s="3" t="s">
        <v>474</v>
      </c>
      <c r="B423" s="3" t="s">
        <v>475</v>
      </c>
      <c r="C423" s="3" t="s">
        <v>1218</v>
      </c>
      <c r="D423" s="3" t="s">
        <v>1219</v>
      </c>
      <c r="E423" s="3" t="s">
        <v>1220</v>
      </c>
      <c r="F423" s="79">
        <v>-248</v>
      </c>
      <c r="G423" s="3" t="s">
        <v>1221</v>
      </c>
      <c r="H423" s="3" t="s">
        <v>1657</v>
      </c>
      <c r="I423" s="3"/>
      <c r="J423" s="3" t="s">
        <v>1224</v>
      </c>
      <c r="K423" s="3" t="s">
        <v>1225</v>
      </c>
      <c r="L423" s="3" t="s">
        <v>1226</v>
      </c>
      <c r="M423" s="3" t="s">
        <v>1227</v>
      </c>
      <c r="N423" s="3" t="s">
        <v>1630</v>
      </c>
    </row>
    <row r="424" spans="1:14" x14ac:dyDescent="0.45">
      <c r="A424" s="3" t="s">
        <v>474</v>
      </c>
      <c r="B424" s="3" t="s">
        <v>475</v>
      </c>
      <c r="C424" s="3" t="s">
        <v>1229</v>
      </c>
      <c r="D424" s="3" t="s">
        <v>1230</v>
      </c>
      <c r="E424" s="3" t="s">
        <v>1231</v>
      </c>
      <c r="F424" s="79">
        <v>-487</v>
      </c>
      <c r="G424" s="3" t="s">
        <v>1221</v>
      </c>
      <c r="H424" s="3" t="s">
        <v>1657</v>
      </c>
      <c r="I424" s="3"/>
      <c r="J424" s="3" t="s">
        <v>1224</v>
      </c>
      <c r="K424" s="3" t="s">
        <v>1232</v>
      </c>
      <c r="L424" s="3" t="s">
        <v>1233</v>
      </c>
      <c r="M424" s="3" t="s">
        <v>1234</v>
      </c>
      <c r="N424" s="3" t="s">
        <v>1658</v>
      </c>
    </row>
    <row r="425" spans="1:14" x14ac:dyDescent="0.45">
      <c r="A425" s="3" t="s">
        <v>474</v>
      </c>
      <c r="B425" s="3" t="s">
        <v>475</v>
      </c>
      <c r="C425" s="3" t="s">
        <v>1236</v>
      </c>
      <c r="D425" s="3" t="s">
        <v>1237</v>
      </c>
      <c r="E425" s="3" t="s">
        <v>1238</v>
      </c>
      <c r="F425" s="79">
        <v>-275</v>
      </c>
      <c r="G425" s="3" t="s">
        <v>1221</v>
      </c>
      <c r="H425" s="3" t="s">
        <v>1657</v>
      </c>
      <c r="I425" s="3"/>
      <c r="J425" s="3" t="s">
        <v>1224</v>
      </c>
      <c r="K425" s="3" t="s">
        <v>1239</v>
      </c>
      <c r="L425" s="3" t="s">
        <v>1240</v>
      </c>
      <c r="M425" s="3" t="s">
        <v>1241</v>
      </c>
      <c r="N425" s="3" t="s">
        <v>1659</v>
      </c>
    </row>
    <row r="426" spans="1:14" x14ac:dyDescent="0.45">
      <c r="A426" s="3" t="s">
        <v>474</v>
      </c>
      <c r="B426" s="3" t="s">
        <v>475</v>
      </c>
      <c r="C426" s="3" t="s">
        <v>1243</v>
      </c>
      <c r="D426" s="3" t="s">
        <v>1244</v>
      </c>
      <c r="E426" s="3" t="s">
        <v>1245</v>
      </c>
      <c r="F426" s="79">
        <v>-246</v>
      </c>
      <c r="G426" s="3" t="s">
        <v>1221</v>
      </c>
      <c r="H426" s="3" t="s">
        <v>1657</v>
      </c>
      <c r="I426" s="3"/>
      <c r="J426" s="3" t="s">
        <v>1224</v>
      </c>
      <c r="K426" s="3" t="s">
        <v>1246</v>
      </c>
      <c r="L426" s="3" t="s">
        <v>1247</v>
      </c>
      <c r="M426" s="3" t="s">
        <v>1248</v>
      </c>
      <c r="N426" s="3" t="s">
        <v>1660</v>
      </c>
    </row>
    <row r="427" spans="1:14" x14ac:dyDescent="0.45">
      <c r="A427" s="3" t="s">
        <v>474</v>
      </c>
      <c r="B427" s="3" t="s">
        <v>475</v>
      </c>
      <c r="C427" s="3" t="s">
        <v>1250</v>
      </c>
      <c r="D427" s="3" t="s">
        <v>1251</v>
      </c>
      <c r="E427" s="3" t="s">
        <v>1252</v>
      </c>
      <c r="F427" s="79">
        <v>19</v>
      </c>
      <c r="G427" s="3" t="s">
        <v>1221</v>
      </c>
      <c r="H427" s="3" t="s">
        <v>1657</v>
      </c>
      <c r="I427" s="3"/>
      <c r="J427" s="3" t="s">
        <v>1224</v>
      </c>
      <c r="K427" s="3" t="s">
        <v>1246</v>
      </c>
      <c r="L427" s="3" t="s">
        <v>1247</v>
      </c>
      <c r="M427" s="3" t="s">
        <v>1248</v>
      </c>
      <c r="N427" s="3" t="s">
        <v>1661</v>
      </c>
    </row>
    <row r="428" spans="1:14" x14ac:dyDescent="0.45">
      <c r="A428" s="3" t="s">
        <v>474</v>
      </c>
      <c r="B428" s="3" t="s">
        <v>475</v>
      </c>
      <c r="C428" s="3" t="s">
        <v>1254</v>
      </c>
      <c r="D428" s="3" t="s">
        <v>1255</v>
      </c>
      <c r="E428" s="3" t="s">
        <v>1256</v>
      </c>
      <c r="F428" s="79">
        <v>342</v>
      </c>
      <c r="G428" s="3" t="s">
        <v>1221</v>
      </c>
      <c r="H428" s="3" t="s">
        <v>1657</v>
      </c>
      <c r="I428" s="3"/>
      <c r="J428" s="3" t="s">
        <v>1224</v>
      </c>
      <c r="K428" s="3" t="s">
        <v>1246</v>
      </c>
      <c r="L428" s="3" t="s">
        <v>1247</v>
      </c>
      <c r="M428" s="3" t="s">
        <v>1248</v>
      </c>
      <c r="N428" s="3" t="s">
        <v>1662</v>
      </c>
    </row>
    <row r="429" spans="1:14" x14ac:dyDescent="0.45">
      <c r="A429" s="3" t="s">
        <v>474</v>
      </c>
      <c r="B429" s="3" t="s">
        <v>475</v>
      </c>
      <c r="C429" s="3" t="s">
        <v>1258</v>
      </c>
      <c r="D429" s="3" t="s">
        <v>1230</v>
      </c>
      <c r="E429" s="3" t="s">
        <v>1259</v>
      </c>
      <c r="F429" s="79">
        <v>-488</v>
      </c>
      <c r="G429" s="3" t="s">
        <v>1221</v>
      </c>
      <c r="H429" s="3" t="s">
        <v>1657</v>
      </c>
      <c r="I429" s="3"/>
      <c r="J429" s="3" t="s">
        <v>1260</v>
      </c>
      <c r="K429" s="3" t="s">
        <v>1261</v>
      </c>
      <c r="L429" s="3" t="s">
        <v>1262</v>
      </c>
      <c r="M429" s="3" t="s">
        <v>1263</v>
      </c>
      <c r="N429" s="3" t="s">
        <v>1663</v>
      </c>
    </row>
    <row r="430" spans="1:14" x14ac:dyDescent="0.45">
      <c r="A430" s="3" t="s">
        <v>474</v>
      </c>
      <c r="B430" s="3" t="s">
        <v>475</v>
      </c>
      <c r="C430" s="3" t="s">
        <v>1265</v>
      </c>
      <c r="D430" s="3" t="s">
        <v>1237</v>
      </c>
      <c r="E430" s="3" t="s">
        <v>1266</v>
      </c>
      <c r="F430" s="79">
        <v>-23</v>
      </c>
      <c r="G430" s="3" t="s">
        <v>1221</v>
      </c>
      <c r="H430" s="3" t="s">
        <v>1657</v>
      </c>
      <c r="I430" s="3"/>
      <c r="J430" s="3" t="s">
        <v>1260</v>
      </c>
      <c r="K430" s="3" t="s">
        <v>1267</v>
      </c>
      <c r="L430" s="3" t="s">
        <v>1268</v>
      </c>
      <c r="M430" s="3" t="s">
        <v>1269</v>
      </c>
      <c r="N430" s="3" t="s">
        <v>1636</v>
      </c>
    </row>
    <row r="431" spans="1:14" x14ac:dyDescent="0.45">
      <c r="A431" s="3" t="s">
        <v>474</v>
      </c>
      <c r="B431" s="3" t="s">
        <v>475</v>
      </c>
      <c r="C431" s="3" t="s">
        <v>1271</v>
      </c>
      <c r="D431" s="3" t="s">
        <v>1272</v>
      </c>
      <c r="E431" s="3" t="s">
        <v>1273</v>
      </c>
      <c r="F431" s="79">
        <v>-54</v>
      </c>
      <c r="G431" s="3" t="s">
        <v>1221</v>
      </c>
      <c r="H431" s="3" t="s">
        <v>1657</v>
      </c>
      <c r="I431" s="3"/>
      <c r="J431" s="3" t="s">
        <v>1260</v>
      </c>
      <c r="K431" s="3" t="s">
        <v>1274</v>
      </c>
      <c r="L431" s="3" t="s">
        <v>1275</v>
      </c>
      <c r="M431" s="3" t="s">
        <v>1276</v>
      </c>
      <c r="N431" s="3" t="s">
        <v>1637</v>
      </c>
    </row>
    <row r="432" spans="1:14" x14ac:dyDescent="0.45">
      <c r="A432" s="3" t="s">
        <v>474</v>
      </c>
      <c r="B432" s="3" t="s">
        <v>475</v>
      </c>
      <c r="C432" s="3" t="s">
        <v>1278</v>
      </c>
      <c r="D432" s="3" t="s">
        <v>1279</v>
      </c>
      <c r="E432" s="3" t="s">
        <v>1280</v>
      </c>
      <c r="F432" s="79">
        <v>-98</v>
      </c>
      <c r="G432" s="3" t="s">
        <v>1221</v>
      </c>
      <c r="H432" s="3" t="s">
        <v>1657</v>
      </c>
      <c r="I432" s="3"/>
      <c r="J432" s="3" t="s">
        <v>1260</v>
      </c>
      <c r="K432" s="3" t="s">
        <v>1281</v>
      </c>
      <c r="L432" s="3" t="s">
        <v>1282</v>
      </c>
      <c r="M432" s="3" t="s">
        <v>1283</v>
      </c>
      <c r="N432" s="3" t="s">
        <v>1664</v>
      </c>
    </row>
    <row r="433" spans="1:14" x14ac:dyDescent="0.45">
      <c r="A433" s="3" t="s">
        <v>474</v>
      </c>
      <c r="B433" s="3" t="s">
        <v>475</v>
      </c>
      <c r="C433" s="3" t="s">
        <v>1285</v>
      </c>
      <c r="D433" s="3" t="s">
        <v>1237</v>
      </c>
      <c r="E433" s="3" t="s">
        <v>1280</v>
      </c>
      <c r="F433" s="79">
        <v>-175</v>
      </c>
      <c r="G433" s="3" t="s">
        <v>1221</v>
      </c>
      <c r="H433" s="3" t="s">
        <v>1657</v>
      </c>
      <c r="I433" s="3"/>
      <c r="J433" s="3" t="s">
        <v>1260</v>
      </c>
      <c r="K433" s="3" t="s">
        <v>1281</v>
      </c>
      <c r="L433" s="3" t="s">
        <v>1282</v>
      </c>
      <c r="M433" s="3" t="s">
        <v>1283</v>
      </c>
      <c r="N433" s="3" t="s">
        <v>1665</v>
      </c>
    </row>
    <row r="434" spans="1:14" x14ac:dyDescent="0.45">
      <c r="A434" s="3" t="s">
        <v>474</v>
      </c>
      <c r="B434" s="3" t="s">
        <v>475</v>
      </c>
      <c r="C434" s="3" t="s">
        <v>1287</v>
      </c>
      <c r="D434" s="3" t="s">
        <v>1244</v>
      </c>
      <c r="E434" s="3" t="s">
        <v>1288</v>
      </c>
      <c r="F434" s="79">
        <v>-81</v>
      </c>
      <c r="G434" s="3" t="s">
        <v>1221</v>
      </c>
      <c r="H434" s="3" t="s">
        <v>1657</v>
      </c>
      <c r="I434" s="3"/>
      <c r="J434" s="3" t="s">
        <v>1260</v>
      </c>
      <c r="K434" s="3" t="s">
        <v>1289</v>
      </c>
      <c r="L434" s="3" t="s">
        <v>1290</v>
      </c>
      <c r="M434" s="3" t="s">
        <v>1291</v>
      </c>
      <c r="N434" s="3" t="s">
        <v>1640</v>
      </c>
    </row>
    <row r="435" spans="1:14" x14ac:dyDescent="0.45">
      <c r="A435" s="3" t="s">
        <v>474</v>
      </c>
      <c r="B435" s="3" t="s">
        <v>475</v>
      </c>
      <c r="C435" s="3" t="s">
        <v>1293</v>
      </c>
      <c r="D435" s="3" t="s">
        <v>1294</v>
      </c>
      <c r="E435" s="3" t="s">
        <v>1295</v>
      </c>
      <c r="F435" s="79">
        <v>-98</v>
      </c>
      <c r="G435" s="3" t="s">
        <v>1221</v>
      </c>
      <c r="H435" s="3" t="s">
        <v>1657</v>
      </c>
      <c r="I435" s="3"/>
      <c r="J435" s="3" t="s">
        <v>1260</v>
      </c>
      <c r="K435" s="3" t="s">
        <v>1296</v>
      </c>
      <c r="L435" s="3" t="s">
        <v>1297</v>
      </c>
      <c r="M435" s="3" t="s">
        <v>1298</v>
      </c>
      <c r="N435" s="3" t="s">
        <v>1664</v>
      </c>
    </row>
    <row r="436" spans="1:14" x14ac:dyDescent="0.45">
      <c r="A436" s="3" t="s">
        <v>474</v>
      </c>
      <c r="B436" s="3" t="s">
        <v>475</v>
      </c>
      <c r="C436" s="3" t="s">
        <v>1300</v>
      </c>
      <c r="D436" s="3" t="s">
        <v>1301</v>
      </c>
      <c r="E436" s="3" t="s">
        <v>1302</v>
      </c>
      <c r="F436" s="79">
        <v>-31</v>
      </c>
      <c r="G436" s="3" t="s">
        <v>1221</v>
      </c>
      <c r="H436" s="3" t="s">
        <v>1657</v>
      </c>
      <c r="I436" s="3"/>
      <c r="J436" s="3" t="s">
        <v>1260</v>
      </c>
      <c r="K436" s="3" t="s">
        <v>1303</v>
      </c>
      <c r="L436" s="3" t="s">
        <v>1304</v>
      </c>
      <c r="M436" s="3" t="s">
        <v>1305</v>
      </c>
      <c r="N436" s="3" t="s">
        <v>1642</v>
      </c>
    </row>
    <row r="437" spans="1:14" x14ac:dyDescent="0.45">
      <c r="A437" s="3" t="s">
        <v>474</v>
      </c>
      <c r="B437" s="3" t="s">
        <v>475</v>
      </c>
      <c r="C437" s="3" t="s">
        <v>1307</v>
      </c>
      <c r="D437" s="3" t="s">
        <v>1244</v>
      </c>
      <c r="E437" s="3" t="s">
        <v>1302</v>
      </c>
      <c r="F437" s="79">
        <v>-210</v>
      </c>
      <c r="G437" s="3" t="s">
        <v>1221</v>
      </c>
      <c r="H437" s="3" t="s">
        <v>1657</v>
      </c>
      <c r="I437" s="3"/>
      <c r="J437" s="3" t="s">
        <v>1260</v>
      </c>
      <c r="K437" s="3" t="s">
        <v>1303</v>
      </c>
      <c r="L437" s="3" t="s">
        <v>1304</v>
      </c>
      <c r="M437" s="3" t="s">
        <v>1305</v>
      </c>
      <c r="N437" s="3" t="s">
        <v>1666</v>
      </c>
    </row>
    <row r="438" spans="1:14" x14ac:dyDescent="0.45">
      <c r="A438" s="3" t="s">
        <v>474</v>
      </c>
      <c r="B438" s="3" t="s">
        <v>475</v>
      </c>
      <c r="C438" s="3" t="s">
        <v>1309</v>
      </c>
      <c r="D438" s="3" t="s">
        <v>1251</v>
      </c>
      <c r="E438" s="3" t="s">
        <v>1310</v>
      </c>
      <c r="F438" s="79">
        <v>-83</v>
      </c>
      <c r="G438" s="3" t="s">
        <v>1221</v>
      </c>
      <c r="H438" s="3" t="s">
        <v>1657</v>
      </c>
      <c r="I438" s="3"/>
      <c r="J438" s="3" t="s">
        <v>1260</v>
      </c>
      <c r="K438" s="3" t="s">
        <v>1311</v>
      </c>
      <c r="L438" s="3" t="s">
        <v>1312</v>
      </c>
      <c r="M438" s="3" t="s">
        <v>1313</v>
      </c>
      <c r="N438" s="3" t="s">
        <v>1667</v>
      </c>
    </row>
    <row r="439" spans="1:14" x14ac:dyDescent="0.45">
      <c r="A439" s="3" t="s">
        <v>474</v>
      </c>
      <c r="B439" s="3" t="s">
        <v>475</v>
      </c>
      <c r="C439" s="3" t="s">
        <v>1315</v>
      </c>
      <c r="D439" s="3" t="s">
        <v>1316</v>
      </c>
      <c r="E439" s="3" t="s">
        <v>1317</v>
      </c>
      <c r="F439" s="79">
        <v>14</v>
      </c>
      <c r="G439" s="3" t="s">
        <v>1221</v>
      </c>
      <c r="H439" s="3" t="s">
        <v>1657</v>
      </c>
      <c r="I439" s="3"/>
      <c r="J439" s="3" t="s">
        <v>1260</v>
      </c>
      <c r="K439" s="3" t="s">
        <v>1318</v>
      </c>
      <c r="L439" s="3" t="s">
        <v>1319</v>
      </c>
      <c r="M439" s="3" t="s">
        <v>1320</v>
      </c>
      <c r="N439" s="3" t="s">
        <v>1645</v>
      </c>
    </row>
    <row r="440" spans="1:14" x14ac:dyDescent="0.45">
      <c r="A440" s="3" t="s">
        <v>474</v>
      </c>
      <c r="B440" s="3" t="s">
        <v>475</v>
      </c>
      <c r="C440" s="3" t="s">
        <v>1322</v>
      </c>
      <c r="D440" s="3" t="s">
        <v>1323</v>
      </c>
      <c r="E440" s="3" t="s">
        <v>1324</v>
      </c>
      <c r="F440" s="79">
        <v>56</v>
      </c>
      <c r="G440" s="3" t="s">
        <v>1221</v>
      </c>
      <c r="H440" s="3" t="s">
        <v>1657</v>
      </c>
      <c r="I440" s="3"/>
      <c r="J440" s="3" t="s">
        <v>1260</v>
      </c>
      <c r="K440" s="3" t="s">
        <v>1325</v>
      </c>
      <c r="L440" s="3" t="s">
        <v>1326</v>
      </c>
      <c r="M440" s="3" t="s">
        <v>1327</v>
      </c>
      <c r="N440" s="3" t="s">
        <v>1426</v>
      </c>
    </row>
    <row r="441" spans="1:14" x14ac:dyDescent="0.45">
      <c r="A441" s="3" t="s">
        <v>474</v>
      </c>
      <c r="B441" s="3" t="s">
        <v>475</v>
      </c>
      <c r="C441" s="3" t="s">
        <v>1329</v>
      </c>
      <c r="D441" s="3" t="s">
        <v>1251</v>
      </c>
      <c r="E441" s="3" t="s">
        <v>1324</v>
      </c>
      <c r="F441" s="79">
        <v>-13</v>
      </c>
      <c r="G441" s="3" t="s">
        <v>1221</v>
      </c>
      <c r="H441" s="3" t="s">
        <v>1657</v>
      </c>
      <c r="I441" s="3"/>
      <c r="J441" s="3" t="s">
        <v>1260</v>
      </c>
      <c r="K441" s="3" t="s">
        <v>1325</v>
      </c>
      <c r="L441" s="3" t="s">
        <v>1326</v>
      </c>
      <c r="M441" s="3" t="s">
        <v>1327</v>
      </c>
      <c r="N441" s="3" t="s">
        <v>1668</v>
      </c>
    </row>
    <row r="442" spans="1:14" x14ac:dyDescent="0.45">
      <c r="A442" s="3" t="s">
        <v>474</v>
      </c>
      <c r="B442" s="3" t="s">
        <v>475</v>
      </c>
      <c r="C442" s="3" t="s">
        <v>1331</v>
      </c>
      <c r="D442" s="3" t="s">
        <v>1255</v>
      </c>
      <c r="E442" s="3" t="s">
        <v>1332</v>
      </c>
      <c r="F442" s="79">
        <v>56</v>
      </c>
      <c r="G442" s="3" t="s">
        <v>1221</v>
      </c>
      <c r="H442" s="3" t="s">
        <v>1657</v>
      </c>
      <c r="I442" s="3"/>
      <c r="J442" s="3" t="s">
        <v>1260</v>
      </c>
      <c r="K442" s="3" t="s">
        <v>1333</v>
      </c>
      <c r="L442" s="3" t="s">
        <v>1334</v>
      </c>
      <c r="M442" s="3" t="s">
        <v>1335</v>
      </c>
      <c r="N442" s="3" t="s">
        <v>1426</v>
      </c>
    </row>
    <row r="443" spans="1:14" x14ac:dyDescent="0.45">
      <c r="A443" s="3" t="s">
        <v>474</v>
      </c>
      <c r="B443" s="3" t="s">
        <v>475</v>
      </c>
      <c r="C443" s="3" t="s">
        <v>1337</v>
      </c>
      <c r="D443" s="3" t="s">
        <v>1338</v>
      </c>
      <c r="E443" s="3" t="s">
        <v>1339</v>
      </c>
      <c r="F443" s="79">
        <v>80</v>
      </c>
      <c r="G443" s="3" t="s">
        <v>1221</v>
      </c>
      <c r="H443" s="3" t="s">
        <v>1657</v>
      </c>
      <c r="I443" s="3"/>
      <c r="J443" s="3" t="s">
        <v>1260</v>
      </c>
      <c r="K443" s="3" t="s">
        <v>1340</v>
      </c>
      <c r="L443" s="3" t="s">
        <v>1341</v>
      </c>
      <c r="M443" s="3" t="s">
        <v>1342</v>
      </c>
      <c r="N443" s="3" t="s">
        <v>1565</v>
      </c>
    </row>
    <row r="444" spans="1:14" x14ac:dyDescent="0.45">
      <c r="A444" s="3" t="s">
        <v>474</v>
      </c>
      <c r="B444" s="3" t="s">
        <v>475</v>
      </c>
      <c r="C444" s="3" t="s">
        <v>1344</v>
      </c>
      <c r="D444" s="3" t="s">
        <v>1345</v>
      </c>
      <c r="E444" s="3" t="s">
        <v>1346</v>
      </c>
      <c r="F444" s="79">
        <v>105</v>
      </c>
      <c r="G444" s="3" t="s">
        <v>1221</v>
      </c>
      <c r="H444" s="3" t="s">
        <v>1657</v>
      </c>
      <c r="I444" s="3"/>
      <c r="J444" s="3" t="s">
        <v>1260</v>
      </c>
      <c r="K444" s="3" t="s">
        <v>1325</v>
      </c>
      <c r="L444" s="3" t="s">
        <v>1326</v>
      </c>
      <c r="M444" s="3" t="s">
        <v>1327</v>
      </c>
      <c r="N444" s="3" t="s">
        <v>1669</v>
      </c>
    </row>
    <row r="445" spans="1:14" x14ac:dyDescent="0.45">
      <c r="A445" s="3" t="s">
        <v>474</v>
      </c>
      <c r="B445" s="3" t="s">
        <v>475</v>
      </c>
      <c r="C445" s="3" t="s">
        <v>1348</v>
      </c>
      <c r="D445" s="3" t="s">
        <v>1255</v>
      </c>
      <c r="E445" s="3" t="s">
        <v>1346</v>
      </c>
      <c r="F445" s="79">
        <v>241</v>
      </c>
      <c r="G445" s="3" t="s">
        <v>1221</v>
      </c>
      <c r="H445" s="3" t="s">
        <v>1657</v>
      </c>
      <c r="I445" s="3"/>
      <c r="J445" s="3" t="s">
        <v>1260</v>
      </c>
      <c r="K445" s="3" t="s">
        <v>1325</v>
      </c>
      <c r="L445" s="3" t="s">
        <v>1326</v>
      </c>
      <c r="M445" s="3" t="s">
        <v>1327</v>
      </c>
      <c r="N445" s="3" t="s">
        <v>1493</v>
      </c>
    </row>
    <row r="446" spans="1:14" x14ac:dyDescent="0.45">
      <c r="A446" s="3" t="s">
        <v>474</v>
      </c>
      <c r="B446" s="3" t="s">
        <v>475</v>
      </c>
      <c r="C446" s="3" t="s">
        <v>1350</v>
      </c>
      <c r="D446" s="3" t="s">
        <v>1351</v>
      </c>
      <c r="E446" s="3" t="s">
        <v>1352</v>
      </c>
      <c r="F446" s="79">
        <v>126</v>
      </c>
      <c r="G446" s="3" t="s">
        <v>1221</v>
      </c>
      <c r="H446" s="3" t="s">
        <v>1657</v>
      </c>
      <c r="I446" s="3"/>
      <c r="J446" s="3" t="s">
        <v>1260</v>
      </c>
      <c r="K446" s="3" t="s">
        <v>1333</v>
      </c>
      <c r="L446" s="3" t="s">
        <v>1334</v>
      </c>
      <c r="M446" s="3" t="s">
        <v>1335</v>
      </c>
      <c r="N446" s="3" t="s">
        <v>1670</v>
      </c>
    </row>
    <row r="447" spans="1:14" x14ac:dyDescent="0.45">
      <c r="A447" s="3" t="s">
        <v>474</v>
      </c>
      <c r="B447" s="3" t="s">
        <v>475</v>
      </c>
      <c r="C447" s="3" t="s">
        <v>1354</v>
      </c>
      <c r="D447" s="3" t="s">
        <v>1355</v>
      </c>
      <c r="E447" s="3" t="s">
        <v>1356</v>
      </c>
      <c r="F447" s="79">
        <v>154</v>
      </c>
      <c r="G447" s="3" t="s">
        <v>1221</v>
      </c>
      <c r="H447" s="3" t="s">
        <v>1657</v>
      </c>
      <c r="I447" s="3"/>
      <c r="J447" s="3" t="s">
        <v>1260</v>
      </c>
      <c r="K447" s="3" t="s">
        <v>1340</v>
      </c>
      <c r="L447" s="3" t="s">
        <v>1341</v>
      </c>
      <c r="M447" s="3" t="s">
        <v>1342</v>
      </c>
      <c r="N447" s="3" t="s">
        <v>1671</v>
      </c>
    </row>
    <row r="448" spans="1:14" x14ac:dyDescent="0.45">
      <c r="A448" s="3" t="s">
        <v>501</v>
      </c>
      <c r="B448" s="3" t="s">
        <v>1672</v>
      </c>
      <c r="C448" s="3" t="s">
        <v>1218</v>
      </c>
      <c r="D448" s="3" t="s">
        <v>1219</v>
      </c>
      <c r="E448" s="3" t="s">
        <v>1220</v>
      </c>
      <c r="F448" s="79">
        <v>27</v>
      </c>
      <c r="G448" s="3" t="s">
        <v>1221</v>
      </c>
      <c r="H448" s="3" t="s">
        <v>1673</v>
      </c>
      <c r="I448" s="3"/>
      <c r="J448" s="3" t="s">
        <v>1224</v>
      </c>
      <c r="K448" s="3" t="s">
        <v>1225</v>
      </c>
      <c r="L448" s="3" t="s">
        <v>1226</v>
      </c>
      <c r="M448" s="3" t="s">
        <v>1227</v>
      </c>
      <c r="N448" s="3" t="s">
        <v>1417</v>
      </c>
    </row>
    <row r="449" spans="1:14" x14ac:dyDescent="0.45">
      <c r="A449" s="3" t="s">
        <v>501</v>
      </c>
      <c r="B449" s="3" t="s">
        <v>1672</v>
      </c>
      <c r="C449" s="3" t="s">
        <v>1229</v>
      </c>
      <c r="D449" s="3" t="s">
        <v>1230</v>
      </c>
      <c r="E449" s="3" t="s">
        <v>1231</v>
      </c>
      <c r="F449" s="79">
        <v>21</v>
      </c>
      <c r="G449" s="3" t="s">
        <v>1221</v>
      </c>
      <c r="H449" s="3" t="s">
        <v>1673</v>
      </c>
      <c r="I449" s="3"/>
      <c r="J449" s="3" t="s">
        <v>1224</v>
      </c>
      <c r="K449" s="3" t="s">
        <v>1232</v>
      </c>
      <c r="L449" s="3" t="s">
        <v>1233</v>
      </c>
      <c r="M449" s="3" t="s">
        <v>1234</v>
      </c>
      <c r="N449" s="3" t="s">
        <v>1674</v>
      </c>
    </row>
    <row r="450" spans="1:14" x14ac:dyDescent="0.45">
      <c r="A450" s="3" t="s">
        <v>501</v>
      </c>
      <c r="B450" s="3" t="s">
        <v>1672</v>
      </c>
      <c r="C450" s="3" t="s">
        <v>1236</v>
      </c>
      <c r="D450" s="3" t="s">
        <v>1237</v>
      </c>
      <c r="E450" s="3" t="s">
        <v>1238</v>
      </c>
      <c r="F450" s="79">
        <v>24</v>
      </c>
      <c r="G450" s="3" t="s">
        <v>1221</v>
      </c>
      <c r="H450" s="3" t="s">
        <v>1673</v>
      </c>
      <c r="I450" s="3"/>
      <c r="J450" s="3" t="s">
        <v>1224</v>
      </c>
      <c r="K450" s="3" t="s">
        <v>1239</v>
      </c>
      <c r="L450" s="3" t="s">
        <v>1240</v>
      </c>
      <c r="M450" s="3" t="s">
        <v>1241</v>
      </c>
      <c r="N450" s="3" t="s">
        <v>1675</v>
      </c>
    </row>
    <row r="451" spans="1:14" x14ac:dyDescent="0.45">
      <c r="A451" s="3" t="s">
        <v>501</v>
      </c>
      <c r="B451" s="3" t="s">
        <v>1672</v>
      </c>
      <c r="C451" s="3" t="s">
        <v>1243</v>
      </c>
      <c r="D451" s="3" t="s">
        <v>1244</v>
      </c>
      <c r="E451" s="3" t="s">
        <v>1245</v>
      </c>
      <c r="F451" s="79">
        <v>32</v>
      </c>
      <c r="G451" s="3" t="s">
        <v>1221</v>
      </c>
      <c r="H451" s="3" t="s">
        <v>1673</v>
      </c>
      <c r="I451" s="3"/>
      <c r="J451" s="3" t="s">
        <v>1224</v>
      </c>
      <c r="K451" s="3" t="s">
        <v>1246</v>
      </c>
      <c r="L451" s="3" t="s">
        <v>1247</v>
      </c>
      <c r="M451" s="3" t="s">
        <v>1248</v>
      </c>
      <c r="N451" s="3" t="s">
        <v>1676</v>
      </c>
    </row>
    <row r="452" spans="1:14" x14ac:dyDescent="0.45">
      <c r="A452" s="3" t="s">
        <v>501</v>
      </c>
      <c r="B452" s="3" t="s">
        <v>1672</v>
      </c>
      <c r="C452" s="3" t="s">
        <v>1250</v>
      </c>
      <c r="D452" s="3" t="s">
        <v>1251</v>
      </c>
      <c r="E452" s="3" t="s">
        <v>1252</v>
      </c>
      <c r="F452" s="79">
        <v>46</v>
      </c>
      <c r="G452" s="3" t="s">
        <v>1221</v>
      </c>
      <c r="H452" s="3" t="s">
        <v>1673</v>
      </c>
      <c r="I452" s="3"/>
      <c r="J452" s="3" t="s">
        <v>1224</v>
      </c>
      <c r="K452" s="3" t="s">
        <v>1246</v>
      </c>
      <c r="L452" s="3" t="s">
        <v>1247</v>
      </c>
      <c r="M452" s="3" t="s">
        <v>1248</v>
      </c>
      <c r="N452" s="3" t="s">
        <v>1572</v>
      </c>
    </row>
    <row r="453" spans="1:14" x14ac:dyDescent="0.45">
      <c r="A453" s="3" t="s">
        <v>501</v>
      </c>
      <c r="B453" s="3" t="s">
        <v>1672</v>
      </c>
      <c r="C453" s="3" t="s">
        <v>1254</v>
      </c>
      <c r="D453" s="3" t="s">
        <v>1255</v>
      </c>
      <c r="E453" s="3" t="s">
        <v>1256</v>
      </c>
      <c r="F453" s="79">
        <v>64</v>
      </c>
      <c r="G453" s="3" t="s">
        <v>1221</v>
      </c>
      <c r="H453" s="3" t="s">
        <v>1673</v>
      </c>
      <c r="I453" s="3"/>
      <c r="J453" s="3" t="s">
        <v>1224</v>
      </c>
      <c r="K453" s="3" t="s">
        <v>1246</v>
      </c>
      <c r="L453" s="3" t="s">
        <v>1247</v>
      </c>
      <c r="M453" s="3" t="s">
        <v>1248</v>
      </c>
      <c r="N453" s="3" t="s">
        <v>1429</v>
      </c>
    </row>
    <row r="454" spans="1:14" x14ac:dyDescent="0.45">
      <c r="A454" s="3" t="s">
        <v>501</v>
      </c>
      <c r="B454" s="3" t="s">
        <v>1672</v>
      </c>
      <c r="C454" s="3" t="s">
        <v>1258</v>
      </c>
      <c r="D454" s="3" t="s">
        <v>1230</v>
      </c>
      <c r="E454" s="3" t="s">
        <v>1259</v>
      </c>
      <c r="F454" s="79">
        <v>16</v>
      </c>
      <c r="G454" s="3" t="s">
        <v>1221</v>
      </c>
      <c r="H454" s="3" t="s">
        <v>1673</v>
      </c>
      <c r="I454" s="3"/>
      <c r="J454" s="3" t="s">
        <v>1260</v>
      </c>
      <c r="K454" s="3" t="s">
        <v>1261</v>
      </c>
      <c r="L454" s="3" t="s">
        <v>1262</v>
      </c>
      <c r="M454" s="3" t="s">
        <v>1263</v>
      </c>
      <c r="N454" s="3" t="s">
        <v>1603</v>
      </c>
    </row>
    <row r="455" spans="1:14" x14ac:dyDescent="0.45">
      <c r="A455" s="3" t="s">
        <v>501</v>
      </c>
      <c r="B455" s="3" t="s">
        <v>1672</v>
      </c>
      <c r="C455" s="3" t="s">
        <v>1265</v>
      </c>
      <c r="D455" s="3" t="s">
        <v>1237</v>
      </c>
      <c r="E455" s="3" t="s">
        <v>1266</v>
      </c>
      <c r="F455" s="79">
        <v>6</v>
      </c>
      <c r="G455" s="3" t="s">
        <v>1221</v>
      </c>
      <c r="H455" s="3" t="s">
        <v>1673</v>
      </c>
      <c r="I455" s="3"/>
      <c r="J455" s="3" t="s">
        <v>1260</v>
      </c>
      <c r="K455" s="3" t="s">
        <v>1267</v>
      </c>
      <c r="L455" s="3" t="s">
        <v>1268</v>
      </c>
      <c r="M455" s="3" t="s">
        <v>1269</v>
      </c>
      <c r="N455" s="3" t="s">
        <v>1677</v>
      </c>
    </row>
    <row r="456" spans="1:14" x14ac:dyDescent="0.45">
      <c r="A456" s="3" t="s">
        <v>501</v>
      </c>
      <c r="B456" s="3" t="s">
        <v>1672</v>
      </c>
      <c r="C456" s="3" t="s">
        <v>1678</v>
      </c>
      <c r="D456" s="3" t="s">
        <v>1237</v>
      </c>
      <c r="E456" s="3" t="s">
        <v>1273</v>
      </c>
      <c r="F456" s="79">
        <v>12</v>
      </c>
      <c r="G456" s="3" t="s">
        <v>1221</v>
      </c>
      <c r="H456" s="3" t="s">
        <v>1673</v>
      </c>
      <c r="I456" s="3"/>
      <c r="J456" s="3" t="s">
        <v>1260</v>
      </c>
      <c r="K456" s="3" t="s">
        <v>1274</v>
      </c>
      <c r="L456" s="3" t="s">
        <v>1275</v>
      </c>
      <c r="M456" s="3" t="s">
        <v>1276</v>
      </c>
      <c r="N456" s="3" t="s">
        <v>1573</v>
      </c>
    </row>
    <row r="457" spans="1:14" x14ac:dyDescent="0.45">
      <c r="A457" s="3" t="s">
        <v>501</v>
      </c>
      <c r="B457" s="3" t="s">
        <v>1672</v>
      </c>
      <c r="C457" s="3" t="s">
        <v>1285</v>
      </c>
      <c r="D457" s="3" t="s">
        <v>1237</v>
      </c>
      <c r="E457" s="3" t="s">
        <v>1280</v>
      </c>
      <c r="F457" s="79">
        <v>18</v>
      </c>
      <c r="G457" s="3" t="s">
        <v>1221</v>
      </c>
      <c r="H457" s="3" t="s">
        <v>1673</v>
      </c>
      <c r="I457" s="3"/>
      <c r="J457" s="3" t="s">
        <v>1260</v>
      </c>
      <c r="K457" s="3" t="s">
        <v>1281</v>
      </c>
      <c r="L457" s="3" t="s">
        <v>1282</v>
      </c>
      <c r="M457" s="3" t="s">
        <v>1283</v>
      </c>
      <c r="N457" s="3" t="s">
        <v>1679</v>
      </c>
    </row>
    <row r="458" spans="1:14" x14ac:dyDescent="0.45">
      <c r="A458" s="3" t="s">
        <v>501</v>
      </c>
      <c r="B458" s="3" t="s">
        <v>1672</v>
      </c>
      <c r="C458" s="3" t="s">
        <v>1287</v>
      </c>
      <c r="D458" s="3" t="s">
        <v>1244</v>
      </c>
      <c r="E458" s="3" t="s">
        <v>1288</v>
      </c>
      <c r="F458" s="79">
        <v>6</v>
      </c>
      <c r="G458" s="3" t="s">
        <v>1221</v>
      </c>
      <c r="H458" s="3" t="s">
        <v>1673</v>
      </c>
      <c r="I458" s="3"/>
      <c r="J458" s="3" t="s">
        <v>1260</v>
      </c>
      <c r="K458" s="3" t="s">
        <v>1289</v>
      </c>
      <c r="L458" s="3" t="s">
        <v>1290</v>
      </c>
      <c r="M458" s="3" t="s">
        <v>1291</v>
      </c>
      <c r="N458" s="3" t="s">
        <v>1677</v>
      </c>
    </row>
    <row r="459" spans="1:14" x14ac:dyDescent="0.45">
      <c r="A459" s="3" t="s">
        <v>501</v>
      </c>
      <c r="B459" s="3" t="s">
        <v>1672</v>
      </c>
      <c r="C459" s="3" t="s">
        <v>1680</v>
      </c>
      <c r="D459" s="3" t="s">
        <v>1244</v>
      </c>
      <c r="E459" s="3" t="s">
        <v>1295</v>
      </c>
      <c r="F459" s="79">
        <v>14</v>
      </c>
      <c r="G459" s="3" t="s">
        <v>1221</v>
      </c>
      <c r="H459" s="3" t="s">
        <v>1673</v>
      </c>
      <c r="I459" s="3"/>
      <c r="J459" s="3" t="s">
        <v>1260</v>
      </c>
      <c r="K459" s="3" t="s">
        <v>1296</v>
      </c>
      <c r="L459" s="3" t="s">
        <v>1297</v>
      </c>
      <c r="M459" s="3" t="s">
        <v>1298</v>
      </c>
      <c r="N459" s="3" t="s">
        <v>1645</v>
      </c>
    </row>
    <row r="460" spans="1:14" x14ac:dyDescent="0.45">
      <c r="A460" s="3" t="s">
        <v>501</v>
      </c>
      <c r="B460" s="3" t="s">
        <v>1672</v>
      </c>
      <c r="C460" s="3" t="s">
        <v>1307</v>
      </c>
      <c r="D460" s="3" t="s">
        <v>1244</v>
      </c>
      <c r="E460" s="3" t="s">
        <v>1302</v>
      </c>
      <c r="F460" s="79">
        <v>22</v>
      </c>
      <c r="G460" s="3" t="s">
        <v>1221</v>
      </c>
      <c r="H460" s="3" t="s">
        <v>1673</v>
      </c>
      <c r="I460" s="3"/>
      <c r="J460" s="3" t="s">
        <v>1260</v>
      </c>
      <c r="K460" s="3" t="s">
        <v>1303</v>
      </c>
      <c r="L460" s="3" t="s">
        <v>1304</v>
      </c>
      <c r="M460" s="3" t="s">
        <v>1305</v>
      </c>
      <c r="N460" s="3" t="s">
        <v>1634</v>
      </c>
    </row>
    <row r="461" spans="1:14" x14ac:dyDescent="0.45">
      <c r="A461" s="3" t="s">
        <v>501</v>
      </c>
      <c r="B461" s="3" t="s">
        <v>1672</v>
      </c>
      <c r="C461" s="3" t="s">
        <v>1309</v>
      </c>
      <c r="D461" s="3" t="s">
        <v>1251</v>
      </c>
      <c r="E461" s="3" t="s">
        <v>1310</v>
      </c>
      <c r="F461" s="79">
        <v>11</v>
      </c>
      <c r="G461" s="3" t="s">
        <v>1221</v>
      </c>
      <c r="H461" s="3" t="s">
        <v>1673</v>
      </c>
      <c r="I461" s="3"/>
      <c r="J461" s="3" t="s">
        <v>1260</v>
      </c>
      <c r="K461" s="3" t="s">
        <v>1311</v>
      </c>
      <c r="L461" s="3" t="s">
        <v>1312</v>
      </c>
      <c r="M461" s="3" t="s">
        <v>1313</v>
      </c>
      <c r="N461" s="3" t="s">
        <v>1621</v>
      </c>
    </row>
    <row r="462" spans="1:14" x14ac:dyDescent="0.45">
      <c r="A462" s="3" t="s">
        <v>501</v>
      </c>
      <c r="B462" s="3" t="s">
        <v>1672</v>
      </c>
      <c r="C462" s="3" t="s">
        <v>1681</v>
      </c>
      <c r="D462" s="3" t="s">
        <v>1251</v>
      </c>
      <c r="E462" s="3" t="s">
        <v>1317</v>
      </c>
      <c r="F462" s="79">
        <v>23</v>
      </c>
      <c r="G462" s="3" t="s">
        <v>1221</v>
      </c>
      <c r="H462" s="3" t="s">
        <v>1673</v>
      </c>
      <c r="I462" s="3"/>
      <c r="J462" s="3" t="s">
        <v>1260</v>
      </c>
      <c r="K462" s="3" t="s">
        <v>1318</v>
      </c>
      <c r="L462" s="3" t="s">
        <v>1319</v>
      </c>
      <c r="M462" s="3" t="s">
        <v>1320</v>
      </c>
      <c r="N462" s="3" t="s">
        <v>1682</v>
      </c>
    </row>
    <row r="463" spans="1:14" x14ac:dyDescent="0.45">
      <c r="A463" s="3" t="s">
        <v>501</v>
      </c>
      <c r="B463" s="3" t="s">
        <v>1672</v>
      </c>
      <c r="C463" s="3" t="s">
        <v>1329</v>
      </c>
      <c r="D463" s="3" t="s">
        <v>1251</v>
      </c>
      <c r="E463" s="3" t="s">
        <v>1324</v>
      </c>
      <c r="F463" s="79">
        <v>35</v>
      </c>
      <c r="G463" s="3" t="s">
        <v>1221</v>
      </c>
      <c r="H463" s="3" t="s">
        <v>1673</v>
      </c>
      <c r="I463" s="3"/>
      <c r="J463" s="3" t="s">
        <v>1260</v>
      </c>
      <c r="K463" s="3" t="s">
        <v>1325</v>
      </c>
      <c r="L463" s="3" t="s">
        <v>1326</v>
      </c>
      <c r="M463" s="3" t="s">
        <v>1327</v>
      </c>
      <c r="N463" s="3" t="s">
        <v>1683</v>
      </c>
    </row>
    <row r="464" spans="1:14" x14ac:dyDescent="0.45">
      <c r="A464" s="3" t="s">
        <v>501</v>
      </c>
      <c r="B464" s="3" t="s">
        <v>1672</v>
      </c>
      <c r="C464" s="3" t="s">
        <v>1331</v>
      </c>
      <c r="D464" s="3" t="s">
        <v>1255</v>
      </c>
      <c r="E464" s="3" t="s">
        <v>1332</v>
      </c>
      <c r="F464" s="79">
        <v>19</v>
      </c>
      <c r="G464" s="3" t="s">
        <v>1221</v>
      </c>
      <c r="H464" s="3" t="s">
        <v>1673</v>
      </c>
      <c r="I464" s="3"/>
      <c r="J464" s="3" t="s">
        <v>1260</v>
      </c>
      <c r="K464" s="3" t="s">
        <v>1333</v>
      </c>
      <c r="L464" s="3" t="s">
        <v>1334</v>
      </c>
      <c r="M464" s="3" t="s">
        <v>1335</v>
      </c>
      <c r="N464" s="3" t="s">
        <v>1661</v>
      </c>
    </row>
    <row r="465" spans="1:14" x14ac:dyDescent="0.45">
      <c r="A465" s="3" t="s">
        <v>501</v>
      </c>
      <c r="B465" s="3" t="s">
        <v>1672</v>
      </c>
      <c r="C465" s="3" t="s">
        <v>1684</v>
      </c>
      <c r="D465" s="3" t="s">
        <v>1255</v>
      </c>
      <c r="E465" s="3" t="s">
        <v>1339</v>
      </c>
      <c r="F465" s="79">
        <v>35</v>
      </c>
      <c r="G465" s="3" t="s">
        <v>1221</v>
      </c>
      <c r="H465" s="3" t="s">
        <v>1673</v>
      </c>
      <c r="I465" s="3"/>
      <c r="J465" s="3" t="s">
        <v>1260</v>
      </c>
      <c r="K465" s="3" t="s">
        <v>1340</v>
      </c>
      <c r="L465" s="3" t="s">
        <v>1341</v>
      </c>
      <c r="M465" s="3" t="s">
        <v>1342</v>
      </c>
      <c r="N465" s="3" t="s">
        <v>1683</v>
      </c>
    </row>
    <row r="466" spans="1:14" x14ac:dyDescent="0.45">
      <c r="A466" s="3" t="s">
        <v>501</v>
      </c>
      <c r="B466" s="3" t="s">
        <v>1672</v>
      </c>
      <c r="C466" s="3" t="s">
        <v>1348</v>
      </c>
      <c r="D466" s="3" t="s">
        <v>1255</v>
      </c>
      <c r="E466" s="3" t="s">
        <v>1346</v>
      </c>
      <c r="F466" s="79">
        <v>48</v>
      </c>
      <c r="G466" s="3" t="s">
        <v>1221</v>
      </c>
      <c r="H466" s="3" t="s">
        <v>1673</v>
      </c>
      <c r="I466" s="3"/>
      <c r="J466" s="3" t="s">
        <v>1260</v>
      </c>
      <c r="K466" s="3" t="s">
        <v>1325</v>
      </c>
      <c r="L466" s="3" t="s">
        <v>1326</v>
      </c>
      <c r="M466" s="3" t="s">
        <v>1327</v>
      </c>
      <c r="N466" s="3" t="s">
        <v>1685</v>
      </c>
    </row>
    <row r="467" spans="1:14" x14ac:dyDescent="0.45">
      <c r="A467" s="3" t="s">
        <v>501</v>
      </c>
      <c r="B467" s="3" t="s">
        <v>1672</v>
      </c>
      <c r="C467" s="3" t="s">
        <v>1350</v>
      </c>
      <c r="D467" s="3" t="s">
        <v>1351</v>
      </c>
      <c r="E467" s="3" t="s">
        <v>1352</v>
      </c>
      <c r="F467" s="79">
        <v>10</v>
      </c>
      <c r="G467" s="3" t="s">
        <v>1221</v>
      </c>
      <c r="H467" s="3" t="s">
        <v>1673</v>
      </c>
      <c r="I467" s="3"/>
      <c r="J467" s="3" t="s">
        <v>1260</v>
      </c>
      <c r="K467" s="3" t="s">
        <v>1333</v>
      </c>
      <c r="L467" s="3" t="s">
        <v>1334</v>
      </c>
      <c r="M467" s="3" t="s">
        <v>1335</v>
      </c>
      <c r="N467" s="3" t="s">
        <v>1626</v>
      </c>
    </row>
    <row r="468" spans="1:14" x14ac:dyDescent="0.45">
      <c r="A468" s="3" t="s">
        <v>501</v>
      </c>
      <c r="B468" s="3" t="s">
        <v>1672</v>
      </c>
      <c r="C468" s="3" t="s">
        <v>1686</v>
      </c>
      <c r="D468" s="3" t="s">
        <v>1351</v>
      </c>
      <c r="E468" s="3" t="s">
        <v>1356</v>
      </c>
      <c r="F468" s="79">
        <v>22</v>
      </c>
      <c r="G468" s="3" t="s">
        <v>1221</v>
      </c>
      <c r="H468" s="3" t="s">
        <v>1673</v>
      </c>
      <c r="I468" s="3"/>
      <c r="J468" s="3" t="s">
        <v>1260</v>
      </c>
      <c r="K468" s="3" t="s">
        <v>1340</v>
      </c>
      <c r="L468" s="3" t="s">
        <v>1341</v>
      </c>
      <c r="M468" s="3" t="s">
        <v>1342</v>
      </c>
      <c r="N468" s="3" t="s">
        <v>1634</v>
      </c>
    </row>
    <row r="469" spans="1:14" x14ac:dyDescent="0.45">
      <c r="A469" s="3" t="s">
        <v>503</v>
      </c>
      <c r="B469" s="3" t="s">
        <v>1687</v>
      </c>
      <c r="C469" s="3" t="s">
        <v>1218</v>
      </c>
      <c r="D469" s="3" t="s">
        <v>1219</v>
      </c>
      <c r="E469" s="3" t="s">
        <v>1220</v>
      </c>
      <c r="F469" s="79">
        <v>86</v>
      </c>
      <c r="G469" s="3" t="s">
        <v>1221</v>
      </c>
      <c r="H469" s="3" t="s">
        <v>1688</v>
      </c>
      <c r="I469" s="3"/>
      <c r="J469" s="3" t="s">
        <v>1224</v>
      </c>
      <c r="K469" s="3" t="s">
        <v>1225</v>
      </c>
      <c r="L469" s="3" t="s">
        <v>1226</v>
      </c>
      <c r="M469" s="3" t="s">
        <v>1227</v>
      </c>
      <c r="N469" s="3" t="s">
        <v>1689</v>
      </c>
    </row>
    <row r="470" spans="1:14" x14ac:dyDescent="0.45">
      <c r="A470" s="3" t="s">
        <v>503</v>
      </c>
      <c r="B470" s="3" t="s">
        <v>1687</v>
      </c>
      <c r="C470" s="3" t="s">
        <v>1229</v>
      </c>
      <c r="D470" s="3" t="s">
        <v>1230</v>
      </c>
      <c r="E470" s="3" t="s">
        <v>1231</v>
      </c>
      <c r="F470" s="79">
        <v>140</v>
      </c>
      <c r="G470" s="3" t="s">
        <v>1221</v>
      </c>
      <c r="H470" s="3" t="s">
        <v>1688</v>
      </c>
      <c r="I470" s="3"/>
      <c r="J470" s="3" t="s">
        <v>1224</v>
      </c>
      <c r="K470" s="3" t="s">
        <v>1232</v>
      </c>
      <c r="L470" s="3" t="s">
        <v>1233</v>
      </c>
      <c r="M470" s="3" t="s">
        <v>1234</v>
      </c>
      <c r="N470" s="3" t="s">
        <v>1487</v>
      </c>
    </row>
    <row r="471" spans="1:14" x14ac:dyDescent="0.45">
      <c r="A471" s="3" t="s">
        <v>503</v>
      </c>
      <c r="B471" s="3" t="s">
        <v>1687</v>
      </c>
      <c r="C471" s="3" t="s">
        <v>1236</v>
      </c>
      <c r="D471" s="3" t="s">
        <v>1237</v>
      </c>
      <c r="E471" s="3" t="s">
        <v>1238</v>
      </c>
      <c r="F471" s="79">
        <v>228</v>
      </c>
      <c r="G471" s="3" t="s">
        <v>1221</v>
      </c>
      <c r="H471" s="3" t="s">
        <v>1688</v>
      </c>
      <c r="I471" s="3"/>
      <c r="J471" s="3" t="s">
        <v>1224</v>
      </c>
      <c r="K471" s="3" t="s">
        <v>1239</v>
      </c>
      <c r="L471" s="3" t="s">
        <v>1240</v>
      </c>
      <c r="M471" s="3" t="s">
        <v>1241</v>
      </c>
      <c r="N471" s="3" t="s">
        <v>1690</v>
      </c>
    </row>
    <row r="472" spans="1:14" x14ac:dyDescent="0.45">
      <c r="A472" s="3" t="s">
        <v>503</v>
      </c>
      <c r="B472" s="3" t="s">
        <v>1687</v>
      </c>
      <c r="C472" s="3" t="s">
        <v>1243</v>
      </c>
      <c r="D472" s="3" t="s">
        <v>1244</v>
      </c>
      <c r="E472" s="3" t="s">
        <v>1245</v>
      </c>
      <c r="F472" s="79">
        <v>277</v>
      </c>
      <c r="G472" s="3" t="s">
        <v>1221</v>
      </c>
      <c r="H472" s="3" t="s">
        <v>1688</v>
      </c>
      <c r="I472" s="3"/>
      <c r="J472" s="3" t="s">
        <v>1224</v>
      </c>
      <c r="K472" s="3" t="s">
        <v>1246</v>
      </c>
      <c r="L472" s="3" t="s">
        <v>1247</v>
      </c>
      <c r="M472" s="3" t="s">
        <v>1248</v>
      </c>
      <c r="N472" s="3" t="s">
        <v>1549</v>
      </c>
    </row>
    <row r="473" spans="1:14" x14ac:dyDescent="0.45">
      <c r="A473" s="3" t="s">
        <v>503</v>
      </c>
      <c r="B473" s="3" t="s">
        <v>1687</v>
      </c>
      <c r="C473" s="3" t="s">
        <v>1250</v>
      </c>
      <c r="D473" s="3" t="s">
        <v>1251</v>
      </c>
      <c r="E473" s="3" t="s">
        <v>1252</v>
      </c>
      <c r="F473" s="79">
        <v>253</v>
      </c>
      <c r="G473" s="3" t="s">
        <v>1221</v>
      </c>
      <c r="H473" s="3" t="s">
        <v>1688</v>
      </c>
      <c r="I473" s="3"/>
      <c r="J473" s="3" t="s">
        <v>1224</v>
      </c>
      <c r="K473" s="3" t="s">
        <v>1246</v>
      </c>
      <c r="L473" s="3" t="s">
        <v>1247</v>
      </c>
      <c r="M473" s="3" t="s">
        <v>1248</v>
      </c>
      <c r="N473" s="3" t="s">
        <v>1691</v>
      </c>
    </row>
    <row r="474" spans="1:14" x14ac:dyDescent="0.45">
      <c r="A474" s="3" t="s">
        <v>503</v>
      </c>
      <c r="B474" s="3" t="s">
        <v>1687</v>
      </c>
      <c r="C474" s="3" t="s">
        <v>1254</v>
      </c>
      <c r="D474" s="3" t="s">
        <v>1255</v>
      </c>
      <c r="E474" s="3" t="s">
        <v>1256</v>
      </c>
      <c r="F474" s="79">
        <v>242</v>
      </c>
      <c r="G474" s="3" t="s">
        <v>1221</v>
      </c>
      <c r="H474" s="3" t="s">
        <v>1688</v>
      </c>
      <c r="I474" s="3"/>
      <c r="J474" s="3" t="s">
        <v>1224</v>
      </c>
      <c r="K474" s="3" t="s">
        <v>1246</v>
      </c>
      <c r="L474" s="3" t="s">
        <v>1247</v>
      </c>
      <c r="M474" s="3" t="s">
        <v>1248</v>
      </c>
      <c r="N474" s="3" t="s">
        <v>1692</v>
      </c>
    </row>
    <row r="475" spans="1:14" x14ac:dyDescent="0.45">
      <c r="A475" s="3" t="s">
        <v>503</v>
      </c>
      <c r="B475" s="3" t="s">
        <v>1687</v>
      </c>
      <c r="C475" s="3" t="s">
        <v>1258</v>
      </c>
      <c r="D475" s="3" t="s">
        <v>1230</v>
      </c>
      <c r="E475" s="3" t="s">
        <v>1259</v>
      </c>
      <c r="F475" s="79">
        <v>95</v>
      </c>
      <c r="G475" s="3" t="s">
        <v>1221</v>
      </c>
      <c r="H475" s="3" t="s">
        <v>1688</v>
      </c>
      <c r="I475" s="3"/>
      <c r="J475" s="3" t="s">
        <v>1260</v>
      </c>
      <c r="K475" s="3" t="s">
        <v>1261</v>
      </c>
      <c r="L475" s="3" t="s">
        <v>1262</v>
      </c>
      <c r="M475" s="3" t="s">
        <v>1263</v>
      </c>
      <c r="N475" s="3" t="s">
        <v>1693</v>
      </c>
    </row>
    <row r="476" spans="1:14" x14ac:dyDescent="0.45">
      <c r="A476" s="3" t="s">
        <v>503</v>
      </c>
      <c r="B476" s="3" t="s">
        <v>1687</v>
      </c>
      <c r="C476" s="3" t="s">
        <v>1265</v>
      </c>
      <c r="D476" s="3" t="s">
        <v>1237</v>
      </c>
      <c r="E476" s="3" t="s">
        <v>1266</v>
      </c>
      <c r="F476" s="79">
        <v>53</v>
      </c>
      <c r="G476" s="3" t="s">
        <v>1221</v>
      </c>
      <c r="H476" s="3" t="s">
        <v>1688</v>
      </c>
      <c r="I476" s="3"/>
      <c r="J476" s="3" t="s">
        <v>1260</v>
      </c>
      <c r="K476" s="3" t="s">
        <v>1267</v>
      </c>
      <c r="L476" s="3" t="s">
        <v>1268</v>
      </c>
      <c r="M476" s="3" t="s">
        <v>1269</v>
      </c>
      <c r="N476" s="3" t="s">
        <v>1425</v>
      </c>
    </row>
    <row r="477" spans="1:14" x14ac:dyDescent="0.45">
      <c r="A477" s="3" t="s">
        <v>503</v>
      </c>
      <c r="B477" s="3" t="s">
        <v>1687</v>
      </c>
      <c r="C477" s="3" t="s">
        <v>1678</v>
      </c>
      <c r="D477" s="3" t="s">
        <v>1237</v>
      </c>
      <c r="E477" s="3" t="s">
        <v>1273</v>
      </c>
      <c r="F477" s="79">
        <v>110</v>
      </c>
      <c r="G477" s="3" t="s">
        <v>1221</v>
      </c>
      <c r="H477" s="3" t="s">
        <v>1688</v>
      </c>
      <c r="I477" s="3"/>
      <c r="J477" s="3" t="s">
        <v>1260</v>
      </c>
      <c r="K477" s="3" t="s">
        <v>1274</v>
      </c>
      <c r="L477" s="3" t="s">
        <v>1275</v>
      </c>
      <c r="M477" s="3" t="s">
        <v>1276</v>
      </c>
      <c r="N477" s="3" t="s">
        <v>1556</v>
      </c>
    </row>
    <row r="478" spans="1:14" x14ac:dyDescent="0.45">
      <c r="A478" s="3" t="s">
        <v>503</v>
      </c>
      <c r="B478" s="3" t="s">
        <v>1687</v>
      </c>
      <c r="C478" s="3" t="s">
        <v>1285</v>
      </c>
      <c r="D478" s="3" t="s">
        <v>1237</v>
      </c>
      <c r="E478" s="3" t="s">
        <v>1280</v>
      </c>
      <c r="F478" s="79">
        <v>167</v>
      </c>
      <c r="G478" s="3" t="s">
        <v>1221</v>
      </c>
      <c r="H478" s="3" t="s">
        <v>1688</v>
      </c>
      <c r="I478" s="3"/>
      <c r="J478" s="3" t="s">
        <v>1260</v>
      </c>
      <c r="K478" s="3" t="s">
        <v>1281</v>
      </c>
      <c r="L478" s="3" t="s">
        <v>1282</v>
      </c>
      <c r="M478" s="3" t="s">
        <v>1283</v>
      </c>
      <c r="N478" s="3" t="s">
        <v>1694</v>
      </c>
    </row>
    <row r="479" spans="1:14" x14ac:dyDescent="0.45">
      <c r="A479" s="3" t="s">
        <v>503</v>
      </c>
      <c r="B479" s="3" t="s">
        <v>1687</v>
      </c>
      <c r="C479" s="3" t="s">
        <v>1287</v>
      </c>
      <c r="D479" s="3" t="s">
        <v>1244</v>
      </c>
      <c r="E479" s="3" t="s">
        <v>1288</v>
      </c>
      <c r="F479" s="79">
        <v>63</v>
      </c>
      <c r="G479" s="3" t="s">
        <v>1221</v>
      </c>
      <c r="H479" s="3" t="s">
        <v>1688</v>
      </c>
      <c r="I479" s="3"/>
      <c r="J479" s="3" t="s">
        <v>1260</v>
      </c>
      <c r="K479" s="3" t="s">
        <v>1289</v>
      </c>
      <c r="L479" s="3" t="s">
        <v>1290</v>
      </c>
      <c r="M479" s="3" t="s">
        <v>1291</v>
      </c>
      <c r="N479" s="3" t="s">
        <v>1270</v>
      </c>
    </row>
    <row r="480" spans="1:14" x14ac:dyDescent="0.45">
      <c r="A480" s="3" t="s">
        <v>503</v>
      </c>
      <c r="B480" s="3" t="s">
        <v>1687</v>
      </c>
      <c r="C480" s="3" t="s">
        <v>1680</v>
      </c>
      <c r="D480" s="3" t="s">
        <v>1244</v>
      </c>
      <c r="E480" s="3" t="s">
        <v>1295</v>
      </c>
      <c r="F480" s="79">
        <v>135</v>
      </c>
      <c r="G480" s="3" t="s">
        <v>1221</v>
      </c>
      <c r="H480" s="3" t="s">
        <v>1688</v>
      </c>
      <c r="I480" s="3"/>
      <c r="J480" s="3" t="s">
        <v>1260</v>
      </c>
      <c r="K480" s="3" t="s">
        <v>1296</v>
      </c>
      <c r="L480" s="3" t="s">
        <v>1297</v>
      </c>
      <c r="M480" s="3" t="s">
        <v>1298</v>
      </c>
      <c r="N480" s="3" t="s">
        <v>1695</v>
      </c>
    </row>
    <row r="481" spans="1:14" x14ac:dyDescent="0.45">
      <c r="A481" s="3" t="s">
        <v>503</v>
      </c>
      <c r="B481" s="3" t="s">
        <v>1687</v>
      </c>
      <c r="C481" s="3" t="s">
        <v>1307</v>
      </c>
      <c r="D481" s="3" t="s">
        <v>1244</v>
      </c>
      <c r="E481" s="3" t="s">
        <v>1302</v>
      </c>
      <c r="F481" s="79">
        <v>206</v>
      </c>
      <c r="G481" s="3" t="s">
        <v>1221</v>
      </c>
      <c r="H481" s="3" t="s">
        <v>1688</v>
      </c>
      <c r="I481" s="3"/>
      <c r="J481" s="3" t="s">
        <v>1260</v>
      </c>
      <c r="K481" s="3" t="s">
        <v>1303</v>
      </c>
      <c r="L481" s="3" t="s">
        <v>1304</v>
      </c>
      <c r="M481" s="3" t="s">
        <v>1305</v>
      </c>
      <c r="N481" s="3" t="s">
        <v>1696</v>
      </c>
    </row>
    <row r="482" spans="1:14" x14ac:dyDescent="0.45">
      <c r="A482" s="3" t="s">
        <v>503</v>
      </c>
      <c r="B482" s="3" t="s">
        <v>1687</v>
      </c>
      <c r="C482" s="3" t="s">
        <v>1309</v>
      </c>
      <c r="D482" s="3" t="s">
        <v>1251</v>
      </c>
      <c r="E482" s="3" t="s">
        <v>1310</v>
      </c>
      <c r="F482" s="79">
        <v>66</v>
      </c>
      <c r="G482" s="3" t="s">
        <v>1221</v>
      </c>
      <c r="H482" s="3" t="s">
        <v>1688</v>
      </c>
      <c r="I482" s="3"/>
      <c r="J482" s="3" t="s">
        <v>1260</v>
      </c>
      <c r="K482" s="3" t="s">
        <v>1311</v>
      </c>
      <c r="L482" s="3" t="s">
        <v>1312</v>
      </c>
      <c r="M482" s="3" t="s">
        <v>1313</v>
      </c>
      <c r="N482" s="3" t="s">
        <v>1428</v>
      </c>
    </row>
    <row r="483" spans="1:14" x14ac:dyDescent="0.45">
      <c r="A483" s="3" t="s">
        <v>503</v>
      </c>
      <c r="B483" s="3" t="s">
        <v>1687</v>
      </c>
      <c r="C483" s="3" t="s">
        <v>1681</v>
      </c>
      <c r="D483" s="3" t="s">
        <v>1251</v>
      </c>
      <c r="E483" s="3" t="s">
        <v>1317</v>
      </c>
      <c r="F483" s="79">
        <v>133</v>
      </c>
      <c r="G483" s="3" t="s">
        <v>1221</v>
      </c>
      <c r="H483" s="3" t="s">
        <v>1688</v>
      </c>
      <c r="I483" s="3"/>
      <c r="J483" s="3" t="s">
        <v>1260</v>
      </c>
      <c r="K483" s="3" t="s">
        <v>1318</v>
      </c>
      <c r="L483" s="3" t="s">
        <v>1319</v>
      </c>
      <c r="M483" s="3" t="s">
        <v>1320</v>
      </c>
      <c r="N483" s="3" t="s">
        <v>1528</v>
      </c>
    </row>
    <row r="484" spans="1:14" x14ac:dyDescent="0.45">
      <c r="A484" s="3" t="s">
        <v>503</v>
      </c>
      <c r="B484" s="3" t="s">
        <v>1687</v>
      </c>
      <c r="C484" s="3" t="s">
        <v>1329</v>
      </c>
      <c r="D484" s="3" t="s">
        <v>1251</v>
      </c>
      <c r="E484" s="3" t="s">
        <v>1324</v>
      </c>
      <c r="F484" s="79">
        <v>193</v>
      </c>
      <c r="G484" s="3" t="s">
        <v>1221</v>
      </c>
      <c r="H484" s="3" t="s">
        <v>1688</v>
      </c>
      <c r="I484" s="3"/>
      <c r="J484" s="3" t="s">
        <v>1260</v>
      </c>
      <c r="K484" s="3" t="s">
        <v>1325</v>
      </c>
      <c r="L484" s="3" t="s">
        <v>1326</v>
      </c>
      <c r="M484" s="3" t="s">
        <v>1327</v>
      </c>
      <c r="N484" s="3" t="s">
        <v>1697</v>
      </c>
    </row>
    <row r="485" spans="1:14" x14ac:dyDescent="0.45">
      <c r="A485" s="3" t="s">
        <v>503</v>
      </c>
      <c r="B485" s="3" t="s">
        <v>1687</v>
      </c>
      <c r="C485" s="3" t="s">
        <v>1331</v>
      </c>
      <c r="D485" s="3" t="s">
        <v>1255</v>
      </c>
      <c r="E485" s="3" t="s">
        <v>1332</v>
      </c>
      <c r="F485" s="79">
        <v>60</v>
      </c>
      <c r="G485" s="3" t="s">
        <v>1221</v>
      </c>
      <c r="H485" s="3" t="s">
        <v>1688</v>
      </c>
      <c r="I485" s="3"/>
      <c r="J485" s="3" t="s">
        <v>1260</v>
      </c>
      <c r="K485" s="3" t="s">
        <v>1333</v>
      </c>
      <c r="L485" s="3" t="s">
        <v>1334</v>
      </c>
      <c r="M485" s="3" t="s">
        <v>1335</v>
      </c>
      <c r="N485" s="3" t="s">
        <v>1432</v>
      </c>
    </row>
    <row r="486" spans="1:14" x14ac:dyDescent="0.45">
      <c r="A486" s="3" t="s">
        <v>503</v>
      </c>
      <c r="B486" s="3" t="s">
        <v>1687</v>
      </c>
      <c r="C486" s="3" t="s">
        <v>1684</v>
      </c>
      <c r="D486" s="3" t="s">
        <v>1255</v>
      </c>
      <c r="E486" s="3" t="s">
        <v>1339</v>
      </c>
      <c r="F486" s="79">
        <v>120</v>
      </c>
      <c r="G486" s="3" t="s">
        <v>1221</v>
      </c>
      <c r="H486" s="3" t="s">
        <v>1688</v>
      </c>
      <c r="I486" s="3"/>
      <c r="J486" s="3" t="s">
        <v>1260</v>
      </c>
      <c r="K486" s="3" t="s">
        <v>1340</v>
      </c>
      <c r="L486" s="3" t="s">
        <v>1341</v>
      </c>
      <c r="M486" s="3" t="s">
        <v>1342</v>
      </c>
      <c r="N486" s="3" t="s">
        <v>1698</v>
      </c>
    </row>
    <row r="487" spans="1:14" x14ac:dyDescent="0.45">
      <c r="A487" s="3" t="s">
        <v>503</v>
      </c>
      <c r="B487" s="3" t="s">
        <v>1687</v>
      </c>
      <c r="C487" s="3" t="s">
        <v>1348</v>
      </c>
      <c r="D487" s="3" t="s">
        <v>1255</v>
      </c>
      <c r="E487" s="3" t="s">
        <v>1346</v>
      </c>
      <c r="F487" s="79">
        <v>186</v>
      </c>
      <c r="G487" s="3" t="s">
        <v>1221</v>
      </c>
      <c r="H487" s="3" t="s">
        <v>1688</v>
      </c>
      <c r="I487" s="3"/>
      <c r="J487" s="3" t="s">
        <v>1260</v>
      </c>
      <c r="K487" s="3" t="s">
        <v>1325</v>
      </c>
      <c r="L487" s="3" t="s">
        <v>1326</v>
      </c>
      <c r="M487" s="3" t="s">
        <v>1327</v>
      </c>
      <c r="N487" s="3" t="s">
        <v>1699</v>
      </c>
    </row>
    <row r="488" spans="1:14" x14ac:dyDescent="0.45">
      <c r="A488" s="3" t="s">
        <v>503</v>
      </c>
      <c r="B488" s="3" t="s">
        <v>1687</v>
      </c>
      <c r="C488" s="3" t="s">
        <v>1350</v>
      </c>
      <c r="D488" s="3" t="s">
        <v>1351</v>
      </c>
      <c r="E488" s="3" t="s">
        <v>1352</v>
      </c>
      <c r="F488" s="79">
        <v>54</v>
      </c>
      <c r="G488" s="3" t="s">
        <v>1221</v>
      </c>
      <c r="H488" s="3" t="s">
        <v>1688</v>
      </c>
      <c r="I488" s="3"/>
      <c r="J488" s="3" t="s">
        <v>1260</v>
      </c>
      <c r="K488" s="3" t="s">
        <v>1333</v>
      </c>
      <c r="L488" s="3" t="s">
        <v>1334</v>
      </c>
      <c r="M488" s="3" t="s">
        <v>1335</v>
      </c>
      <c r="N488" s="3" t="s">
        <v>1700</v>
      </c>
    </row>
    <row r="489" spans="1:14" x14ac:dyDescent="0.45">
      <c r="A489" s="3" t="s">
        <v>503</v>
      </c>
      <c r="B489" s="3" t="s">
        <v>1687</v>
      </c>
      <c r="C489" s="3" t="s">
        <v>1686</v>
      </c>
      <c r="D489" s="3" t="s">
        <v>1351</v>
      </c>
      <c r="E489" s="3" t="s">
        <v>1356</v>
      </c>
      <c r="F489" s="79">
        <v>109</v>
      </c>
      <c r="G489" s="3" t="s">
        <v>1221</v>
      </c>
      <c r="H489" s="3" t="s">
        <v>1688</v>
      </c>
      <c r="I489" s="3"/>
      <c r="J489" s="3" t="s">
        <v>1260</v>
      </c>
      <c r="K489" s="3" t="s">
        <v>1340</v>
      </c>
      <c r="L489" s="3" t="s">
        <v>1341</v>
      </c>
      <c r="M489" s="3" t="s">
        <v>1342</v>
      </c>
      <c r="N489" s="3" t="s">
        <v>1534</v>
      </c>
    </row>
    <row r="490" spans="1:14" x14ac:dyDescent="0.45">
      <c r="A490" s="3" t="s">
        <v>577</v>
      </c>
      <c r="B490" s="3" t="s">
        <v>578</v>
      </c>
      <c r="C490" s="3" t="s">
        <v>1218</v>
      </c>
      <c r="D490" s="3" t="s">
        <v>1219</v>
      </c>
      <c r="E490" s="3" t="s">
        <v>1220</v>
      </c>
      <c r="F490" s="79">
        <v>-125</v>
      </c>
      <c r="G490" s="3" t="s">
        <v>1221</v>
      </c>
      <c r="H490" s="3" t="s">
        <v>1701</v>
      </c>
      <c r="I490" s="3"/>
      <c r="J490" s="3" t="s">
        <v>1224</v>
      </c>
      <c r="K490" s="3" t="s">
        <v>1225</v>
      </c>
      <c r="L490" s="3" t="s">
        <v>1226</v>
      </c>
      <c r="M490" s="3" t="s">
        <v>1227</v>
      </c>
      <c r="N490" s="3" t="s">
        <v>1702</v>
      </c>
    </row>
    <row r="491" spans="1:14" x14ac:dyDescent="0.45">
      <c r="A491" s="3" t="s">
        <v>577</v>
      </c>
      <c r="B491" s="3" t="s">
        <v>578</v>
      </c>
      <c r="C491" s="3" t="s">
        <v>1229</v>
      </c>
      <c r="D491" s="3" t="s">
        <v>1230</v>
      </c>
      <c r="E491" s="3" t="s">
        <v>1231</v>
      </c>
      <c r="F491" s="79">
        <v>2</v>
      </c>
      <c r="G491" s="3" t="s">
        <v>1221</v>
      </c>
      <c r="H491" s="3" t="s">
        <v>1701</v>
      </c>
      <c r="I491" s="3"/>
      <c r="J491" s="3" t="s">
        <v>1224</v>
      </c>
      <c r="K491" s="3" t="s">
        <v>1232</v>
      </c>
      <c r="L491" s="3" t="s">
        <v>1233</v>
      </c>
      <c r="M491" s="3" t="s">
        <v>1234</v>
      </c>
      <c r="N491" s="3" t="s">
        <v>1654</v>
      </c>
    </row>
    <row r="492" spans="1:14" x14ac:dyDescent="0.45">
      <c r="A492" s="3" t="s">
        <v>577</v>
      </c>
      <c r="B492" s="3" t="s">
        <v>578</v>
      </c>
      <c r="C492" s="3" t="s">
        <v>1236</v>
      </c>
      <c r="D492" s="3" t="s">
        <v>1237</v>
      </c>
      <c r="E492" s="3" t="s">
        <v>1238</v>
      </c>
      <c r="F492" s="79">
        <v>-156</v>
      </c>
      <c r="G492" s="3" t="s">
        <v>1221</v>
      </c>
      <c r="H492" s="3" t="s">
        <v>1701</v>
      </c>
      <c r="I492" s="3"/>
      <c r="J492" s="3" t="s">
        <v>1224</v>
      </c>
      <c r="K492" s="3" t="s">
        <v>1239</v>
      </c>
      <c r="L492" s="3" t="s">
        <v>1240</v>
      </c>
      <c r="M492" s="3" t="s">
        <v>1241</v>
      </c>
      <c r="N492" s="3" t="s">
        <v>1703</v>
      </c>
    </row>
    <row r="493" spans="1:14" x14ac:dyDescent="0.45">
      <c r="A493" s="3" t="s">
        <v>577</v>
      </c>
      <c r="B493" s="3" t="s">
        <v>578</v>
      </c>
      <c r="C493" s="3" t="s">
        <v>1243</v>
      </c>
      <c r="D493" s="3" t="s">
        <v>1244</v>
      </c>
      <c r="E493" s="3" t="s">
        <v>1245</v>
      </c>
      <c r="F493" s="79">
        <v>135</v>
      </c>
      <c r="G493" s="3" t="s">
        <v>1221</v>
      </c>
      <c r="H493" s="3" t="s">
        <v>1701</v>
      </c>
      <c r="I493" s="3"/>
      <c r="J493" s="3" t="s">
        <v>1224</v>
      </c>
      <c r="K493" s="3" t="s">
        <v>1246</v>
      </c>
      <c r="L493" s="3" t="s">
        <v>1247</v>
      </c>
      <c r="M493" s="3" t="s">
        <v>1248</v>
      </c>
      <c r="N493" s="3" t="s">
        <v>1695</v>
      </c>
    </row>
    <row r="494" spans="1:14" x14ac:dyDescent="0.45">
      <c r="A494" s="3" t="s">
        <v>577</v>
      </c>
      <c r="B494" s="3" t="s">
        <v>578</v>
      </c>
      <c r="C494" s="3" t="s">
        <v>1250</v>
      </c>
      <c r="D494" s="3" t="s">
        <v>1251</v>
      </c>
      <c r="E494" s="3" t="s">
        <v>1252</v>
      </c>
      <c r="F494" s="79">
        <v>360</v>
      </c>
      <c r="G494" s="3" t="s">
        <v>1221</v>
      </c>
      <c r="H494" s="3" t="s">
        <v>1701</v>
      </c>
      <c r="I494" s="3"/>
      <c r="J494" s="3" t="s">
        <v>1224</v>
      </c>
      <c r="K494" s="3" t="s">
        <v>1246</v>
      </c>
      <c r="L494" s="3" t="s">
        <v>1247</v>
      </c>
      <c r="M494" s="3" t="s">
        <v>1248</v>
      </c>
      <c r="N494" s="3" t="s">
        <v>1577</v>
      </c>
    </row>
    <row r="495" spans="1:14" x14ac:dyDescent="0.45">
      <c r="A495" s="3" t="s">
        <v>577</v>
      </c>
      <c r="B495" s="3" t="s">
        <v>578</v>
      </c>
      <c r="C495" s="3" t="s">
        <v>1254</v>
      </c>
      <c r="D495" s="3" t="s">
        <v>1255</v>
      </c>
      <c r="E495" s="3" t="s">
        <v>1256</v>
      </c>
      <c r="F495" s="79">
        <v>661</v>
      </c>
      <c r="G495" s="3" t="s">
        <v>1221</v>
      </c>
      <c r="H495" s="3" t="s">
        <v>1701</v>
      </c>
      <c r="I495" s="3"/>
      <c r="J495" s="3" t="s">
        <v>1224</v>
      </c>
      <c r="K495" s="3" t="s">
        <v>1246</v>
      </c>
      <c r="L495" s="3" t="s">
        <v>1247</v>
      </c>
      <c r="M495" s="3" t="s">
        <v>1248</v>
      </c>
      <c r="N495" s="3" t="s">
        <v>1704</v>
      </c>
    </row>
    <row r="496" spans="1:14" x14ac:dyDescent="0.45">
      <c r="A496" s="3" t="s">
        <v>577</v>
      </c>
      <c r="B496" s="3" t="s">
        <v>578</v>
      </c>
      <c r="C496" s="3" t="s">
        <v>1258</v>
      </c>
      <c r="D496" s="3" t="s">
        <v>1230</v>
      </c>
      <c r="E496" s="3" t="s">
        <v>1259</v>
      </c>
      <c r="F496" s="79">
        <v>33</v>
      </c>
      <c r="G496" s="3" t="s">
        <v>1221</v>
      </c>
      <c r="H496" s="3" t="s">
        <v>1701</v>
      </c>
      <c r="I496" s="3"/>
      <c r="J496" s="3" t="s">
        <v>1260</v>
      </c>
      <c r="K496" s="3" t="s">
        <v>1261</v>
      </c>
      <c r="L496" s="3" t="s">
        <v>1262</v>
      </c>
      <c r="M496" s="3" t="s">
        <v>1263</v>
      </c>
      <c r="N496" s="3" t="s">
        <v>1705</v>
      </c>
    </row>
    <row r="497" spans="1:14" x14ac:dyDescent="0.45">
      <c r="A497" s="3" t="s">
        <v>577</v>
      </c>
      <c r="B497" s="3" t="s">
        <v>578</v>
      </c>
      <c r="C497" s="3" t="s">
        <v>1265</v>
      </c>
      <c r="D497" s="3" t="s">
        <v>1237</v>
      </c>
      <c r="E497" s="3" t="s">
        <v>1266</v>
      </c>
      <c r="F497" s="79">
        <v>-47</v>
      </c>
      <c r="G497" s="3" t="s">
        <v>1221</v>
      </c>
      <c r="H497" s="3" t="s">
        <v>1701</v>
      </c>
      <c r="I497" s="3"/>
      <c r="J497" s="3" t="s">
        <v>1260</v>
      </c>
      <c r="K497" s="3" t="s">
        <v>1267</v>
      </c>
      <c r="L497" s="3" t="s">
        <v>1268</v>
      </c>
      <c r="M497" s="3" t="s">
        <v>1269</v>
      </c>
      <c r="N497" s="3" t="s">
        <v>1706</v>
      </c>
    </row>
    <row r="498" spans="1:14" x14ac:dyDescent="0.45">
      <c r="A498" s="3" t="s">
        <v>577</v>
      </c>
      <c r="B498" s="3" t="s">
        <v>578</v>
      </c>
      <c r="C498" s="3" t="s">
        <v>1678</v>
      </c>
      <c r="D498" s="3" t="s">
        <v>1237</v>
      </c>
      <c r="E498" s="3" t="s">
        <v>1273</v>
      </c>
      <c r="F498" s="79">
        <v>-68</v>
      </c>
      <c r="G498" s="3" t="s">
        <v>1221</v>
      </c>
      <c r="H498" s="3" t="s">
        <v>1701</v>
      </c>
      <c r="I498" s="3"/>
      <c r="J498" s="3" t="s">
        <v>1260</v>
      </c>
      <c r="K498" s="3" t="s">
        <v>1274</v>
      </c>
      <c r="L498" s="3" t="s">
        <v>1275</v>
      </c>
      <c r="M498" s="3" t="s">
        <v>1276</v>
      </c>
      <c r="N498" s="3" t="s">
        <v>1707</v>
      </c>
    </row>
    <row r="499" spans="1:14" x14ac:dyDescent="0.45">
      <c r="A499" s="3" t="s">
        <v>577</v>
      </c>
      <c r="B499" s="3" t="s">
        <v>578</v>
      </c>
      <c r="C499" s="3" t="s">
        <v>1285</v>
      </c>
      <c r="D499" s="3" t="s">
        <v>1237</v>
      </c>
      <c r="E499" s="3" t="s">
        <v>1280</v>
      </c>
      <c r="F499" s="79">
        <v>-137</v>
      </c>
      <c r="G499" s="3" t="s">
        <v>1221</v>
      </c>
      <c r="H499" s="3" t="s">
        <v>1701</v>
      </c>
      <c r="I499" s="3"/>
      <c r="J499" s="3" t="s">
        <v>1260</v>
      </c>
      <c r="K499" s="3" t="s">
        <v>1281</v>
      </c>
      <c r="L499" s="3" t="s">
        <v>1282</v>
      </c>
      <c r="M499" s="3" t="s">
        <v>1283</v>
      </c>
      <c r="N499" s="3" t="s">
        <v>1708</v>
      </c>
    </row>
    <row r="500" spans="1:14" x14ac:dyDescent="0.45">
      <c r="A500" s="3" t="s">
        <v>577</v>
      </c>
      <c r="B500" s="3" t="s">
        <v>578</v>
      </c>
      <c r="C500" s="3" t="s">
        <v>1287</v>
      </c>
      <c r="D500" s="3" t="s">
        <v>1244</v>
      </c>
      <c r="E500" s="3" t="s">
        <v>1288</v>
      </c>
      <c r="F500" s="79">
        <v>-55</v>
      </c>
      <c r="G500" s="3" t="s">
        <v>1221</v>
      </c>
      <c r="H500" s="3" t="s">
        <v>1701</v>
      </c>
      <c r="I500" s="3"/>
      <c r="J500" s="3" t="s">
        <v>1260</v>
      </c>
      <c r="K500" s="3" t="s">
        <v>1289</v>
      </c>
      <c r="L500" s="3" t="s">
        <v>1290</v>
      </c>
      <c r="M500" s="3" t="s">
        <v>1291</v>
      </c>
      <c r="N500" s="3" t="s">
        <v>1709</v>
      </c>
    </row>
    <row r="501" spans="1:14" x14ac:dyDescent="0.45">
      <c r="A501" s="3" t="s">
        <v>577</v>
      </c>
      <c r="B501" s="3" t="s">
        <v>578</v>
      </c>
      <c r="C501" s="3" t="s">
        <v>1680</v>
      </c>
      <c r="D501" s="3" t="s">
        <v>1244</v>
      </c>
      <c r="E501" s="3" t="s">
        <v>1295</v>
      </c>
      <c r="F501" s="79">
        <v>-5</v>
      </c>
      <c r="G501" s="3" t="s">
        <v>1221</v>
      </c>
      <c r="H501" s="3" t="s">
        <v>1701</v>
      </c>
      <c r="I501" s="3"/>
      <c r="J501" s="3" t="s">
        <v>1260</v>
      </c>
      <c r="K501" s="3" t="s">
        <v>1296</v>
      </c>
      <c r="L501" s="3" t="s">
        <v>1297</v>
      </c>
      <c r="M501" s="3" t="s">
        <v>1298</v>
      </c>
      <c r="N501" s="3" t="s">
        <v>1710</v>
      </c>
    </row>
    <row r="502" spans="1:14" x14ac:dyDescent="0.45">
      <c r="A502" s="3" t="s">
        <v>577</v>
      </c>
      <c r="B502" s="3" t="s">
        <v>578</v>
      </c>
      <c r="C502" s="3" t="s">
        <v>1307</v>
      </c>
      <c r="D502" s="3" t="s">
        <v>1244</v>
      </c>
      <c r="E502" s="3" t="s">
        <v>1302</v>
      </c>
      <c r="F502" s="79">
        <v>43</v>
      </c>
      <c r="G502" s="3" t="s">
        <v>1221</v>
      </c>
      <c r="H502" s="3" t="s">
        <v>1701</v>
      </c>
      <c r="I502" s="3"/>
      <c r="J502" s="3" t="s">
        <v>1260</v>
      </c>
      <c r="K502" s="3" t="s">
        <v>1303</v>
      </c>
      <c r="L502" s="3" t="s">
        <v>1304</v>
      </c>
      <c r="M502" s="3" t="s">
        <v>1305</v>
      </c>
      <c r="N502" s="3" t="s">
        <v>1422</v>
      </c>
    </row>
    <row r="503" spans="1:14" x14ac:dyDescent="0.45">
      <c r="A503" s="3" t="s">
        <v>577</v>
      </c>
      <c r="B503" s="3" t="s">
        <v>578</v>
      </c>
      <c r="C503" s="3" t="s">
        <v>1309</v>
      </c>
      <c r="D503" s="3" t="s">
        <v>1251</v>
      </c>
      <c r="E503" s="3" t="s">
        <v>1310</v>
      </c>
      <c r="F503" s="79">
        <v>-20</v>
      </c>
      <c r="G503" s="3" t="s">
        <v>1221</v>
      </c>
      <c r="H503" s="3" t="s">
        <v>1701</v>
      </c>
      <c r="I503" s="3"/>
      <c r="J503" s="3" t="s">
        <v>1260</v>
      </c>
      <c r="K503" s="3" t="s">
        <v>1311</v>
      </c>
      <c r="L503" s="3" t="s">
        <v>1312</v>
      </c>
      <c r="M503" s="3" t="s">
        <v>1313</v>
      </c>
      <c r="N503" s="3" t="s">
        <v>1711</v>
      </c>
    </row>
    <row r="504" spans="1:14" x14ac:dyDescent="0.45">
      <c r="A504" s="3" t="s">
        <v>577</v>
      </c>
      <c r="B504" s="3" t="s">
        <v>578</v>
      </c>
      <c r="C504" s="3" t="s">
        <v>1681</v>
      </c>
      <c r="D504" s="3" t="s">
        <v>1251</v>
      </c>
      <c r="E504" s="3" t="s">
        <v>1317</v>
      </c>
      <c r="F504" s="79">
        <v>104</v>
      </c>
      <c r="G504" s="3" t="s">
        <v>1221</v>
      </c>
      <c r="H504" s="3" t="s">
        <v>1701</v>
      </c>
      <c r="I504" s="3"/>
      <c r="J504" s="3" t="s">
        <v>1260</v>
      </c>
      <c r="K504" s="3" t="s">
        <v>1318</v>
      </c>
      <c r="L504" s="3" t="s">
        <v>1319</v>
      </c>
      <c r="M504" s="3" t="s">
        <v>1320</v>
      </c>
      <c r="N504" s="3" t="s">
        <v>1648</v>
      </c>
    </row>
    <row r="505" spans="1:14" x14ac:dyDescent="0.45">
      <c r="A505" s="3" t="s">
        <v>577</v>
      </c>
      <c r="B505" s="3" t="s">
        <v>578</v>
      </c>
      <c r="C505" s="3" t="s">
        <v>1329</v>
      </c>
      <c r="D505" s="3" t="s">
        <v>1251</v>
      </c>
      <c r="E505" s="3" t="s">
        <v>1324</v>
      </c>
      <c r="F505" s="79">
        <v>213</v>
      </c>
      <c r="G505" s="3" t="s">
        <v>1221</v>
      </c>
      <c r="H505" s="3" t="s">
        <v>1701</v>
      </c>
      <c r="I505" s="3"/>
      <c r="J505" s="3" t="s">
        <v>1260</v>
      </c>
      <c r="K505" s="3" t="s">
        <v>1325</v>
      </c>
      <c r="L505" s="3" t="s">
        <v>1326</v>
      </c>
      <c r="M505" s="3" t="s">
        <v>1327</v>
      </c>
      <c r="N505" s="3" t="s">
        <v>1712</v>
      </c>
    </row>
    <row r="506" spans="1:14" x14ac:dyDescent="0.45">
      <c r="A506" s="3" t="s">
        <v>577</v>
      </c>
      <c r="B506" s="3" t="s">
        <v>578</v>
      </c>
      <c r="C506" s="3" t="s">
        <v>1331</v>
      </c>
      <c r="D506" s="3" t="s">
        <v>1255</v>
      </c>
      <c r="E506" s="3" t="s">
        <v>1332</v>
      </c>
      <c r="F506" s="79">
        <v>79</v>
      </c>
      <c r="G506" s="3" t="s">
        <v>1221</v>
      </c>
      <c r="H506" s="3" t="s">
        <v>1701</v>
      </c>
      <c r="I506" s="3"/>
      <c r="J506" s="3" t="s">
        <v>1260</v>
      </c>
      <c r="K506" s="3" t="s">
        <v>1333</v>
      </c>
      <c r="L506" s="3" t="s">
        <v>1334</v>
      </c>
      <c r="M506" s="3" t="s">
        <v>1335</v>
      </c>
      <c r="N506" s="3" t="s">
        <v>1567</v>
      </c>
    </row>
    <row r="507" spans="1:14" x14ac:dyDescent="0.45">
      <c r="A507" s="3" t="s">
        <v>577</v>
      </c>
      <c r="B507" s="3" t="s">
        <v>578</v>
      </c>
      <c r="C507" s="3" t="s">
        <v>1684</v>
      </c>
      <c r="D507" s="3" t="s">
        <v>1255</v>
      </c>
      <c r="E507" s="3" t="s">
        <v>1339</v>
      </c>
      <c r="F507" s="79">
        <v>302</v>
      </c>
      <c r="G507" s="3" t="s">
        <v>1221</v>
      </c>
      <c r="H507" s="3" t="s">
        <v>1701</v>
      </c>
      <c r="I507" s="3"/>
      <c r="J507" s="3" t="s">
        <v>1260</v>
      </c>
      <c r="K507" s="3" t="s">
        <v>1340</v>
      </c>
      <c r="L507" s="3" t="s">
        <v>1341</v>
      </c>
      <c r="M507" s="3" t="s">
        <v>1342</v>
      </c>
      <c r="N507" s="3" t="s">
        <v>1713</v>
      </c>
    </row>
    <row r="508" spans="1:14" x14ac:dyDescent="0.45">
      <c r="A508" s="3" t="s">
        <v>577</v>
      </c>
      <c r="B508" s="3" t="s">
        <v>578</v>
      </c>
      <c r="C508" s="3" t="s">
        <v>1348</v>
      </c>
      <c r="D508" s="3" t="s">
        <v>1255</v>
      </c>
      <c r="E508" s="3" t="s">
        <v>1346</v>
      </c>
      <c r="F508" s="79">
        <v>467</v>
      </c>
      <c r="G508" s="3" t="s">
        <v>1221</v>
      </c>
      <c r="H508" s="3" t="s">
        <v>1701</v>
      </c>
      <c r="I508" s="3"/>
      <c r="J508" s="3" t="s">
        <v>1260</v>
      </c>
      <c r="K508" s="3" t="s">
        <v>1325</v>
      </c>
      <c r="L508" s="3" t="s">
        <v>1326</v>
      </c>
      <c r="M508" s="3" t="s">
        <v>1327</v>
      </c>
      <c r="N508" s="3" t="s">
        <v>1714</v>
      </c>
    </row>
    <row r="509" spans="1:14" x14ac:dyDescent="0.45">
      <c r="A509" s="3" t="s">
        <v>577</v>
      </c>
      <c r="B509" s="3" t="s">
        <v>578</v>
      </c>
      <c r="C509" s="3" t="s">
        <v>1350</v>
      </c>
      <c r="D509" s="3" t="s">
        <v>1351</v>
      </c>
      <c r="E509" s="3" t="s">
        <v>1352</v>
      </c>
      <c r="F509" s="79">
        <v>132</v>
      </c>
      <c r="G509" s="3" t="s">
        <v>1221</v>
      </c>
      <c r="H509" s="3" t="s">
        <v>1701</v>
      </c>
      <c r="I509" s="3"/>
      <c r="J509" s="3" t="s">
        <v>1260</v>
      </c>
      <c r="K509" s="3" t="s">
        <v>1333</v>
      </c>
      <c r="L509" s="3" t="s">
        <v>1334</v>
      </c>
      <c r="M509" s="3" t="s">
        <v>1335</v>
      </c>
      <c r="N509" s="3" t="s">
        <v>1715</v>
      </c>
    </row>
    <row r="510" spans="1:14" x14ac:dyDescent="0.45">
      <c r="A510" s="3" t="s">
        <v>577</v>
      </c>
      <c r="B510" s="3" t="s">
        <v>578</v>
      </c>
      <c r="C510" s="3" t="s">
        <v>1686</v>
      </c>
      <c r="D510" s="3" t="s">
        <v>1351</v>
      </c>
      <c r="E510" s="3" t="s">
        <v>1356</v>
      </c>
      <c r="F510" s="79">
        <v>276</v>
      </c>
      <c r="G510" s="3" t="s">
        <v>1221</v>
      </c>
      <c r="H510" s="3" t="s">
        <v>1701</v>
      </c>
      <c r="I510" s="3"/>
      <c r="J510" s="3" t="s">
        <v>1260</v>
      </c>
      <c r="K510" s="3" t="s">
        <v>1340</v>
      </c>
      <c r="L510" s="3" t="s">
        <v>1341</v>
      </c>
      <c r="M510" s="3" t="s">
        <v>1342</v>
      </c>
      <c r="N510" s="3" t="s">
        <v>1563</v>
      </c>
    </row>
    <row r="511" spans="1:14" x14ac:dyDescent="0.45">
      <c r="A511" s="3" t="s">
        <v>580</v>
      </c>
      <c r="B511" s="3" t="s">
        <v>1716</v>
      </c>
      <c r="C511" s="3" t="s">
        <v>1218</v>
      </c>
      <c r="D511" s="3" t="s">
        <v>1219</v>
      </c>
      <c r="E511" s="3" t="s">
        <v>1220</v>
      </c>
      <c r="F511" s="79">
        <v>28</v>
      </c>
      <c r="G511" s="3" t="s">
        <v>1221</v>
      </c>
      <c r="H511" s="3" t="s">
        <v>1717</v>
      </c>
      <c r="I511" s="3"/>
      <c r="J511" s="3" t="s">
        <v>1224</v>
      </c>
      <c r="K511" s="3" t="s">
        <v>1225</v>
      </c>
      <c r="L511" s="3" t="s">
        <v>1226</v>
      </c>
      <c r="M511" s="3" t="s">
        <v>1227</v>
      </c>
      <c r="N511" s="3" t="s">
        <v>1718</v>
      </c>
    </row>
    <row r="512" spans="1:14" x14ac:dyDescent="0.45">
      <c r="A512" s="3" t="s">
        <v>580</v>
      </c>
      <c r="B512" s="3" t="s">
        <v>1716</v>
      </c>
      <c r="C512" s="3" t="s">
        <v>1218</v>
      </c>
      <c r="D512" s="3" t="s">
        <v>1219</v>
      </c>
      <c r="E512" s="3" t="s">
        <v>1220</v>
      </c>
      <c r="F512" s="79">
        <v>8</v>
      </c>
      <c r="G512" s="3" t="s">
        <v>1221</v>
      </c>
      <c r="H512" s="3" t="s">
        <v>1719</v>
      </c>
      <c r="I512" s="3"/>
      <c r="J512" s="3" t="s">
        <v>1224</v>
      </c>
      <c r="K512" s="3" t="s">
        <v>1225</v>
      </c>
      <c r="L512" s="3" t="s">
        <v>1226</v>
      </c>
      <c r="M512" s="3" t="s">
        <v>1227</v>
      </c>
      <c r="N512" s="3" t="s">
        <v>1575</v>
      </c>
    </row>
    <row r="513" spans="1:14" x14ac:dyDescent="0.45">
      <c r="A513" s="3" t="s">
        <v>580</v>
      </c>
      <c r="B513" s="3" t="s">
        <v>1716</v>
      </c>
      <c r="C513" s="3" t="s">
        <v>1229</v>
      </c>
      <c r="D513" s="3" t="s">
        <v>1230</v>
      </c>
      <c r="E513" s="3" t="s">
        <v>1231</v>
      </c>
      <c r="F513" s="79">
        <v>19</v>
      </c>
      <c r="G513" s="3" t="s">
        <v>1221</v>
      </c>
      <c r="H513" s="3" t="s">
        <v>1720</v>
      </c>
      <c r="I513" s="3"/>
      <c r="J513" s="3" t="s">
        <v>1224</v>
      </c>
      <c r="K513" s="3" t="s">
        <v>1232</v>
      </c>
      <c r="L513" s="3" t="s">
        <v>1233</v>
      </c>
      <c r="M513" s="3" t="s">
        <v>1234</v>
      </c>
      <c r="N513" s="3" t="s">
        <v>1661</v>
      </c>
    </row>
    <row r="514" spans="1:14" x14ac:dyDescent="0.45">
      <c r="A514" s="3" t="s">
        <v>580</v>
      </c>
      <c r="B514" s="3" t="s">
        <v>1716</v>
      </c>
      <c r="C514" s="3" t="s">
        <v>1236</v>
      </c>
      <c r="D514" s="3" t="s">
        <v>1237</v>
      </c>
      <c r="E514" s="3" t="s">
        <v>1238</v>
      </c>
      <c r="F514" s="79">
        <v>33</v>
      </c>
      <c r="G514" s="3" t="s">
        <v>1221</v>
      </c>
      <c r="H514" s="3" t="s">
        <v>1720</v>
      </c>
      <c r="I514" s="3"/>
      <c r="J514" s="3" t="s">
        <v>1224</v>
      </c>
      <c r="K514" s="3" t="s">
        <v>1239</v>
      </c>
      <c r="L514" s="3" t="s">
        <v>1240</v>
      </c>
      <c r="M514" s="3" t="s">
        <v>1241</v>
      </c>
      <c r="N514" s="3" t="s">
        <v>1705</v>
      </c>
    </row>
    <row r="515" spans="1:14" x14ac:dyDescent="0.45">
      <c r="A515" s="3" t="s">
        <v>580</v>
      </c>
      <c r="B515" s="3" t="s">
        <v>1716</v>
      </c>
      <c r="C515" s="3" t="s">
        <v>1243</v>
      </c>
      <c r="D515" s="3" t="s">
        <v>1244</v>
      </c>
      <c r="E515" s="3" t="s">
        <v>1245</v>
      </c>
      <c r="F515" s="79">
        <v>42</v>
      </c>
      <c r="G515" s="3" t="s">
        <v>1221</v>
      </c>
      <c r="H515" s="3" t="s">
        <v>1720</v>
      </c>
      <c r="I515" s="3"/>
      <c r="J515" s="3" t="s">
        <v>1224</v>
      </c>
      <c r="K515" s="3" t="s">
        <v>1246</v>
      </c>
      <c r="L515" s="3" t="s">
        <v>1247</v>
      </c>
      <c r="M515" s="3" t="s">
        <v>1248</v>
      </c>
      <c r="N515" s="3" t="s">
        <v>1623</v>
      </c>
    </row>
    <row r="516" spans="1:14" x14ac:dyDescent="0.45">
      <c r="A516" s="3" t="s">
        <v>580</v>
      </c>
      <c r="B516" s="3" t="s">
        <v>1716</v>
      </c>
      <c r="C516" s="3" t="s">
        <v>1250</v>
      </c>
      <c r="D516" s="3" t="s">
        <v>1251</v>
      </c>
      <c r="E516" s="3" t="s">
        <v>1252</v>
      </c>
      <c r="F516" s="79">
        <v>54</v>
      </c>
      <c r="G516" s="3" t="s">
        <v>1221</v>
      </c>
      <c r="H516" s="3" t="s">
        <v>1720</v>
      </c>
      <c r="I516" s="3"/>
      <c r="J516" s="3" t="s">
        <v>1224</v>
      </c>
      <c r="K516" s="3" t="s">
        <v>1246</v>
      </c>
      <c r="L516" s="3" t="s">
        <v>1247</v>
      </c>
      <c r="M516" s="3" t="s">
        <v>1248</v>
      </c>
      <c r="N516" s="3" t="s">
        <v>1700</v>
      </c>
    </row>
    <row r="517" spans="1:14" x14ac:dyDescent="0.45">
      <c r="A517" s="3" t="s">
        <v>580</v>
      </c>
      <c r="B517" s="3" t="s">
        <v>1716</v>
      </c>
      <c r="C517" s="3" t="s">
        <v>1254</v>
      </c>
      <c r="D517" s="3" t="s">
        <v>1255</v>
      </c>
      <c r="E517" s="3" t="s">
        <v>1256</v>
      </c>
      <c r="F517" s="79">
        <v>53</v>
      </c>
      <c r="G517" s="3" t="s">
        <v>1221</v>
      </c>
      <c r="H517" s="3" t="s">
        <v>1720</v>
      </c>
      <c r="I517" s="3"/>
      <c r="J517" s="3" t="s">
        <v>1224</v>
      </c>
      <c r="K517" s="3" t="s">
        <v>1246</v>
      </c>
      <c r="L517" s="3" t="s">
        <v>1247</v>
      </c>
      <c r="M517" s="3" t="s">
        <v>1248</v>
      </c>
      <c r="N517" s="3" t="s">
        <v>1425</v>
      </c>
    </row>
    <row r="518" spans="1:14" x14ac:dyDescent="0.45">
      <c r="A518" s="3" t="s">
        <v>580</v>
      </c>
      <c r="B518" s="3" t="s">
        <v>1716</v>
      </c>
      <c r="C518" s="3" t="s">
        <v>1258</v>
      </c>
      <c r="D518" s="3" t="s">
        <v>1230</v>
      </c>
      <c r="E518" s="3" t="s">
        <v>1259</v>
      </c>
      <c r="F518" s="79">
        <v>10</v>
      </c>
      <c r="G518" s="3" t="s">
        <v>1221</v>
      </c>
      <c r="H518" s="3" t="s">
        <v>1717</v>
      </c>
      <c r="I518" s="3"/>
      <c r="J518" s="3" t="s">
        <v>1260</v>
      </c>
      <c r="K518" s="3" t="s">
        <v>1261</v>
      </c>
      <c r="L518" s="3" t="s">
        <v>1262</v>
      </c>
      <c r="M518" s="3" t="s">
        <v>1263</v>
      </c>
      <c r="N518" s="3" t="s">
        <v>1626</v>
      </c>
    </row>
    <row r="519" spans="1:14" x14ac:dyDescent="0.45">
      <c r="A519" s="3" t="s">
        <v>580</v>
      </c>
      <c r="B519" s="3" t="s">
        <v>1716</v>
      </c>
      <c r="C519" s="3" t="s">
        <v>1258</v>
      </c>
      <c r="D519" s="3" t="s">
        <v>1230</v>
      </c>
      <c r="E519" s="3" t="s">
        <v>1259</v>
      </c>
      <c r="F519" s="79">
        <v>6</v>
      </c>
      <c r="G519" s="3" t="s">
        <v>1221</v>
      </c>
      <c r="H519" s="3" t="s">
        <v>1719</v>
      </c>
      <c r="I519" s="3"/>
      <c r="J519" s="3" t="s">
        <v>1260</v>
      </c>
      <c r="K519" s="3" t="s">
        <v>1261</v>
      </c>
      <c r="L519" s="3" t="s">
        <v>1262</v>
      </c>
      <c r="M519" s="3" t="s">
        <v>1263</v>
      </c>
      <c r="N519" s="3" t="s">
        <v>1677</v>
      </c>
    </row>
    <row r="520" spans="1:14" x14ac:dyDescent="0.45">
      <c r="A520" s="3" t="s">
        <v>580</v>
      </c>
      <c r="B520" s="3" t="s">
        <v>1716</v>
      </c>
      <c r="C520" s="3" t="s">
        <v>1265</v>
      </c>
      <c r="D520" s="3" t="s">
        <v>1237</v>
      </c>
      <c r="E520" s="3" t="s">
        <v>1266</v>
      </c>
      <c r="F520" s="79">
        <v>2</v>
      </c>
      <c r="G520" s="3" t="s">
        <v>1221</v>
      </c>
      <c r="H520" s="3" t="s">
        <v>1717</v>
      </c>
      <c r="I520" s="3"/>
      <c r="J520" s="3" t="s">
        <v>1260</v>
      </c>
      <c r="K520" s="3" t="s">
        <v>1267</v>
      </c>
      <c r="L520" s="3" t="s">
        <v>1268</v>
      </c>
      <c r="M520" s="3" t="s">
        <v>1269</v>
      </c>
      <c r="N520" s="3" t="s">
        <v>1654</v>
      </c>
    </row>
    <row r="521" spans="1:14" x14ac:dyDescent="0.45">
      <c r="A521" s="3" t="s">
        <v>580</v>
      </c>
      <c r="B521" s="3" t="s">
        <v>1716</v>
      </c>
      <c r="C521" s="3" t="s">
        <v>1265</v>
      </c>
      <c r="D521" s="3" t="s">
        <v>1237</v>
      </c>
      <c r="E521" s="3" t="s">
        <v>1266</v>
      </c>
      <c r="F521" s="79">
        <v>1</v>
      </c>
      <c r="G521" s="3" t="s">
        <v>1221</v>
      </c>
      <c r="H521" s="3" t="s">
        <v>1719</v>
      </c>
      <c r="I521" s="3"/>
      <c r="J521" s="3" t="s">
        <v>1260</v>
      </c>
      <c r="K521" s="3" t="s">
        <v>1267</v>
      </c>
      <c r="L521" s="3" t="s">
        <v>1268</v>
      </c>
      <c r="M521" s="3" t="s">
        <v>1269</v>
      </c>
      <c r="N521" s="3" t="s">
        <v>1462</v>
      </c>
    </row>
    <row r="522" spans="1:14" x14ac:dyDescent="0.45">
      <c r="A522" s="3" t="s">
        <v>580</v>
      </c>
      <c r="B522" s="3" t="s">
        <v>1716</v>
      </c>
      <c r="C522" s="3" t="s">
        <v>1678</v>
      </c>
      <c r="D522" s="3" t="s">
        <v>1237</v>
      </c>
      <c r="E522" s="3" t="s">
        <v>1273</v>
      </c>
      <c r="F522" s="79">
        <v>7</v>
      </c>
      <c r="G522" s="3" t="s">
        <v>1221</v>
      </c>
      <c r="H522" s="3" t="s">
        <v>1717</v>
      </c>
      <c r="I522" s="3"/>
      <c r="J522" s="3" t="s">
        <v>1260</v>
      </c>
      <c r="K522" s="3" t="s">
        <v>1274</v>
      </c>
      <c r="L522" s="3" t="s">
        <v>1275</v>
      </c>
      <c r="M522" s="3" t="s">
        <v>1276</v>
      </c>
      <c r="N522" s="3" t="s">
        <v>1574</v>
      </c>
    </row>
    <row r="523" spans="1:14" x14ac:dyDescent="0.45">
      <c r="A523" s="3" t="s">
        <v>580</v>
      </c>
      <c r="B523" s="3" t="s">
        <v>1716</v>
      </c>
      <c r="C523" s="3" t="s">
        <v>1678</v>
      </c>
      <c r="D523" s="3" t="s">
        <v>1237</v>
      </c>
      <c r="E523" s="3" t="s">
        <v>1273</v>
      </c>
      <c r="F523" s="79">
        <v>5</v>
      </c>
      <c r="G523" s="3" t="s">
        <v>1221</v>
      </c>
      <c r="H523" s="3" t="s">
        <v>1719</v>
      </c>
      <c r="I523" s="3"/>
      <c r="J523" s="3" t="s">
        <v>1260</v>
      </c>
      <c r="K523" s="3" t="s">
        <v>1274</v>
      </c>
      <c r="L523" s="3" t="s">
        <v>1275</v>
      </c>
      <c r="M523" s="3" t="s">
        <v>1276</v>
      </c>
      <c r="N523" s="3" t="s">
        <v>1460</v>
      </c>
    </row>
    <row r="524" spans="1:14" x14ac:dyDescent="0.45">
      <c r="A524" s="3" t="s">
        <v>580</v>
      </c>
      <c r="B524" s="3" t="s">
        <v>1716</v>
      </c>
      <c r="C524" s="3" t="s">
        <v>1285</v>
      </c>
      <c r="D524" s="3" t="s">
        <v>1237</v>
      </c>
      <c r="E524" s="3" t="s">
        <v>1280</v>
      </c>
      <c r="F524" s="79">
        <v>13</v>
      </c>
      <c r="G524" s="3" t="s">
        <v>1221</v>
      </c>
      <c r="H524" s="3" t="s">
        <v>1717</v>
      </c>
      <c r="I524" s="3"/>
      <c r="J524" s="3" t="s">
        <v>1260</v>
      </c>
      <c r="K524" s="3" t="s">
        <v>1281</v>
      </c>
      <c r="L524" s="3" t="s">
        <v>1282</v>
      </c>
      <c r="M524" s="3" t="s">
        <v>1283</v>
      </c>
      <c r="N524" s="3" t="s">
        <v>1628</v>
      </c>
    </row>
    <row r="525" spans="1:14" x14ac:dyDescent="0.45">
      <c r="A525" s="3" t="s">
        <v>580</v>
      </c>
      <c r="B525" s="3" t="s">
        <v>1716</v>
      </c>
      <c r="C525" s="3" t="s">
        <v>1285</v>
      </c>
      <c r="D525" s="3" t="s">
        <v>1237</v>
      </c>
      <c r="E525" s="3" t="s">
        <v>1280</v>
      </c>
      <c r="F525" s="79">
        <v>10</v>
      </c>
      <c r="G525" s="3" t="s">
        <v>1221</v>
      </c>
      <c r="H525" s="3" t="s">
        <v>1719</v>
      </c>
      <c r="I525" s="3"/>
      <c r="J525" s="3" t="s">
        <v>1260</v>
      </c>
      <c r="K525" s="3" t="s">
        <v>1281</v>
      </c>
      <c r="L525" s="3" t="s">
        <v>1282</v>
      </c>
      <c r="M525" s="3" t="s">
        <v>1283</v>
      </c>
      <c r="N525" s="3" t="s">
        <v>1626</v>
      </c>
    </row>
    <row r="526" spans="1:14" x14ac:dyDescent="0.45">
      <c r="A526" s="3" t="s">
        <v>580</v>
      </c>
      <c r="B526" s="3" t="s">
        <v>1716</v>
      </c>
      <c r="C526" s="3" t="s">
        <v>1287</v>
      </c>
      <c r="D526" s="3" t="s">
        <v>1244</v>
      </c>
      <c r="E526" s="3" t="s">
        <v>1288</v>
      </c>
      <c r="F526" s="79">
        <v>10</v>
      </c>
      <c r="G526" s="3" t="s">
        <v>1221</v>
      </c>
      <c r="H526" s="3" t="s">
        <v>1720</v>
      </c>
      <c r="I526" s="3"/>
      <c r="J526" s="3" t="s">
        <v>1260</v>
      </c>
      <c r="K526" s="3" t="s">
        <v>1289</v>
      </c>
      <c r="L526" s="3" t="s">
        <v>1290</v>
      </c>
      <c r="M526" s="3" t="s">
        <v>1291</v>
      </c>
      <c r="N526" s="3" t="s">
        <v>1626</v>
      </c>
    </row>
    <row r="527" spans="1:14" x14ac:dyDescent="0.45">
      <c r="A527" s="3" t="s">
        <v>580</v>
      </c>
      <c r="B527" s="3" t="s">
        <v>1716</v>
      </c>
      <c r="C527" s="3" t="s">
        <v>1680</v>
      </c>
      <c r="D527" s="3" t="s">
        <v>1244</v>
      </c>
      <c r="E527" s="3" t="s">
        <v>1295</v>
      </c>
      <c r="F527" s="79">
        <v>21</v>
      </c>
      <c r="G527" s="3" t="s">
        <v>1221</v>
      </c>
      <c r="H527" s="3" t="s">
        <v>1720</v>
      </c>
      <c r="I527" s="3"/>
      <c r="J527" s="3" t="s">
        <v>1260</v>
      </c>
      <c r="K527" s="3" t="s">
        <v>1296</v>
      </c>
      <c r="L527" s="3" t="s">
        <v>1297</v>
      </c>
      <c r="M527" s="3" t="s">
        <v>1298</v>
      </c>
      <c r="N527" s="3" t="s">
        <v>1674</v>
      </c>
    </row>
    <row r="528" spans="1:14" x14ac:dyDescent="0.45">
      <c r="A528" s="3" t="s">
        <v>580</v>
      </c>
      <c r="B528" s="3" t="s">
        <v>1716</v>
      </c>
      <c r="C528" s="3" t="s">
        <v>1307</v>
      </c>
      <c r="D528" s="3" t="s">
        <v>1244</v>
      </c>
      <c r="E528" s="3" t="s">
        <v>1302</v>
      </c>
      <c r="F528" s="79">
        <v>31</v>
      </c>
      <c r="G528" s="3" t="s">
        <v>1221</v>
      </c>
      <c r="H528" s="3" t="s">
        <v>1720</v>
      </c>
      <c r="I528" s="3"/>
      <c r="J528" s="3" t="s">
        <v>1260</v>
      </c>
      <c r="K528" s="3" t="s">
        <v>1303</v>
      </c>
      <c r="L528" s="3" t="s">
        <v>1304</v>
      </c>
      <c r="M528" s="3" t="s">
        <v>1305</v>
      </c>
      <c r="N528" s="3" t="s">
        <v>1721</v>
      </c>
    </row>
    <row r="529" spans="1:14" x14ac:dyDescent="0.45">
      <c r="A529" s="3" t="s">
        <v>580</v>
      </c>
      <c r="B529" s="3" t="s">
        <v>1716</v>
      </c>
      <c r="C529" s="3" t="s">
        <v>1309</v>
      </c>
      <c r="D529" s="3" t="s">
        <v>1251</v>
      </c>
      <c r="E529" s="3" t="s">
        <v>1310</v>
      </c>
      <c r="F529" s="79">
        <v>13</v>
      </c>
      <c r="G529" s="3" t="s">
        <v>1221</v>
      </c>
      <c r="H529" s="3" t="s">
        <v>1720</v>
      </c>
      <c r="I529" s="3"/>
      <c r="J529" s="3" t="s">
        <v>1260</v>
      </c>
      <c r="K529" s="3" t="s">
        <v>1311</v>
      </c>
      <c r="L529" s="3" t="s">
        <v>1312</v>
      </c>
      <c r="M529" s="3" t="s">
        <v>1313</v>
      </c>
      <c r="N529" s="3" t="s">
        <v>1628</v>
      </c>
    </row>
    <row r="530" spans="1:14" x14ac:dyDescent="0.45">
      <c r="A530" s="3" t="s">
        <v>580</v>
      </c>
      <c r="B530" s="3" t="s">
        <v>1716</v>
      </c>
      <c r="C530" s="3" t="s">
        <v>1681</v>
      </c>
      <c r="D530" s="3" t="s">
        <v>1251</v>
      </c>
      <c r="E530" s="3" t="s">
        <v>1317</v>
      </c>
      <c r="F530" s="79">
        <v>29</v>
      </c>
      <c r="G530" s="3" t="s">
        <v>1221</v>
      </c>
      <c r="H530" s="3" t="s">
        <v>1720</v>
      </c>
      <c r="I530" s="3"/>
      <c r="J530" s="3" t="s">
        <v>1260</v>
      </c>
      <c r="K530" s="3" t="s">
        <v>1318</v>
      </c>
      <c r="L530" s="3" t="s">
        <v>1319</v>
      </c>
      <c r="M530" s="3" t="s">
        <v>1320</v>
      </c>
      <c r="N530" s="3" t="s">
        <v>1418</v>
      </c>
    </row>
    <row r="531" spans="1:14" x14ac:dyDescent="0.45">
      <c r="A531" s="3" t="s">
        <v>580</v>
      </c>
      <c r="B531" s="3" t="s">
        <v>1716</v>
      </c>
      <c r="C531" s="3" t="s">
        <v>1329</v>
      </c>
      <c r="D531" s="3" t="s">
        <v>1251</v>
      </c>
      <c r="E531" s="3" t="s">
        <v>1324</v>
      </c>
      <c r="F531" s="79">
        <v>41</v>
      </c>
      <c r="G531" s="3" t="s">
        <v>1221</v>
      </c>
      <c r="H531" s="3" t="s">
        <v>1720</v>
      </c>
      <c r="I531" s="3"/>
      <c r="J531" s="3" t="s">
        <v>1260</v>
      </c>
      <c r="K531" s="3" t="s">
        <v>1325</v>
      </c>
      <c r="L531" s="3" t="s">
        <v>1326</v>
      </c>
      <c r="M531" s="3" t="s">
        <v>1327</v>
      </c>
      <c r="N531" s="3" t="s">
        <v>1415</v>
      </c>
    </row>
    <row r="532" spans="1:14" x14ac:dyDescent="0.45">
      <c r="A532" s="3" t="s">
        <v>580</v>
      </c>
      <c r="B532" s="3" t="s">
        <v>1716</v>
      </c>
      <c r="C532" s="3" t="s">
        <v>1331</v>
      </c>
      <c r="D532" s="3" t="s">
        <v>1255</v>
      </c>
      <c r="E532" s="3" t="s">
        <v>1332</v>
      </c>
      <c r="F532" s="79">
        <v>10</v>
      </c>
      <c r="G532" s="3" t="s">
        <v>1221</v>
      </c>
      <c r="H532" s="3" t="s">
        <v>1720</v>
      </c>
      <c r="I532" s="3"/>
      <c r="J532" s="3" t="s">
        <v>1260</v>
      </c>
      <c r="K532" s="3" t="s">
        <v>1333</v>
      </c>
      <c r="L532" s="3" t="s">
        <v>1334</v>
      </c>
      <c r="M532" s="3" t="s">
        <v>1335</v>
      </c>
      <c r="N532" s="3" t="s">
        <v>1626</v>
      </c>
    </row>
    <row r="533" spans="1:14" x14ac:dyDescent="0.45">
      <c r="A533" s="3" t="s">
        <v>580</v>
      </c>
      <c r="B533" s="3" t="s">
        <v>1716</v>
      </c>
      <c r="C533" s="3" t="s">
        <v>1684</v>
      </c>
      <c r="D533" s="3" t="s">
        <v>1255</v>
      </c>
      <c r="E533" s="3" t="s">
        <v>1339</v>
      </c>
      <c r="F533" s="79">
        <v>25</v>
      </c>
      <c r="G533" s="3" t="s">
        <v>1221</v>
      </c>
      <c r="H533" s="3" t="s">
        <v>1720</v>
      </c>
      <c r="I533" s="3"/>
      <c r="J533" s="3" t="s">
        <v>1260</v>
      </c>
      <c r="K533" s="3" t="s">
        <v>1340</v>
      </c>
      <c r="L533" s="3" t="s">
        <v>1341</v>
      </c>
      <c r="M533" s="3" t="s">
        <v>1342</v>
      </c>
      <c r="N533" s="3" t="s">
        <v>1416</v>
      </c>
    </row>
    <row r="534" spans="1:14" x14ac:dyDescent="0.45">
      <c r="A534" s="3" t="s">
        <v>580</v>
      </c>
      <c r="B534" s="3" t="s">
        <v>1716</v>
      </c>
      <c r="C534" s="3" t="s">
        <v>1348</v>
      </c>
      <c r="D534" s="3" t="s">
        <v>1255</v>
      </c>
      <c r="E534" s="3" t="s">
        <v>1346</v>
      </c>
      <c r="F534" s="79">
        <v>37</v>
      </c>
      <c r="G534" s="3" t="s">
        <v>1221</v>
      </c>
      <c r="H534" s="3" t="s">
        <v>1720</v>
      </c>
      <c r="I534" s="3"/>
      <c r="J534" s="3" t="s">
        <v>1260</v>
      </c>
      <c r="K534" s="3" t="s">
        <v>1325</v>
      </c>
      <c r="L534" s="3" t="s">
        <v>1326</v>
      </c>
      <c r="M534" s="3" t="s">
        <v>1327</v>
      </c>
      <c r="N534" s="3" t="s">
        <v>1622</v>
      </c>
    </row>
    <row r="535" spans="1:14" x14ac:dyDescent="0.45">
      <c r="A535" s="3" t="s">
        <v>580</v>
      </c>
      <c r="B535" s="3" t="s">
        <v>1716</v>
      </c>
      <c r="C535" s="3" t="s">
        <v>1350</v>
      </c>
      <c r="D535" s="3" t="s">
        <v>1351</v>
      </c>
      <c r="E535" s="3" t="s">
        <v>1352</v>
      </c>
      <c r="F535" s="79">
        <v>17</v>
      </c>
      <c r="G535" s="3" t="s">
        <v>1221</v>
      </c>
      <c r="H535" s="3" t="s">
        <v>1720</v>
      </c>
      <c r="I535" s="3"/>
      <c r="J535" s="3" t="s">
        <v>1260</v>
      </c>
      <c r="K535" s="3" t="s">
        <v>1333</v>
      </c>
      <c r="L535" s="3" t="s">
        <v>1334</v>
      </c>
      <c r="M535" s="3" t="s">
        <v>1335</v>
      </c>
      <c r="N535" s="3" t="s">
        <v>1722</v>
      </c>
    </row>
    <row r="536" spans="1:14" x14ac:dyDescent="0.45">
      <c r="A536" s="3" t="s">
        <v>580</v>
      </c>
      <c r="B536" s="3" t="s">
        <v>1716</v>
      </c>
      <c r="C536" s="3" t="s">
        <v>1686</v>
      </c>
      <c r="D536" s="3" t="s">
        <v>1351</v>
      </c>
      <c r="E536" s="3" t="s">
        <v>1356</v>
      </c>
      <c r="F536" s="79">
        <v>31</v>
      </c>
      <c r="G536" s="3" t="s">
        <v>1221</v>
      </c>
      <c r="H536" s="3" t="s">
        <v>1720</v>
      </c>
      <c r="I536" s="3"/>
      <c r="J536" s="3" t="s">
        <v>1260</v>
      </c>
      <c r="K536" s="3" t="s">
        <v>1340</v>
      </c>
      <c r="L536" s="3" t="s">
        <v>1341</v>
      </c>
      <c r="M536" s="3" t="s">
        <v>1342</v>
      </c>
      <c r="N536" s="3" t="s">
        <v>1721</v>
      </c>
    </row>
    <row r="537" spans="1:14" x14ac:dyDescent="0.45">
      <c r="A537" s="3" t="s">
        <v>584</v>
      </c>
      <c r="B537" s="3" t="s">
        <v>585</v>
      </c>
      <c r="C537" s="3" t="s">
        <v>1218</v>
      </c>
      <c r="D537" s="3" t="s">
        <v>1219</v>
      </c>
      <c r="E537" s="3" t="s">
        <v>1220</v>
      </c>
      <c r="F537" s="79">
        <v>-36</v>
      </c>
      <c r="G537" s="3" t="s">
        <v>1221</v>
      </c>
      <c r="H537" s="3" t="s">
        <v>1723</v>
      </c>
      <c r="I537" s="3"/>
      <c r="J537" s="3" t="s">
        <v>1224</v>
      </c>
      <c r="K537" s="3" t="s">
        <v>1225</v>
      </c>
      <c r="L537" s="3" t="s">
        <v>1226</v>
      </c>
      <c r="M537" s="3" t="s">
        <v>1227</v>
      </c>
      <c r="N537" s="3" t="s">
        <v>1724</v>
      </c>
    </row>
    <row r="538" spans="1:14" x14ac:dyDescent="0.45">
      <c r="A538" s="3" t="s">
        <v>584</v>
      </c>
      <c r="B538" s="3" t="s">
        <v>585</v>
      </c>
      <c r="C538" s="3" t="s">
        <v>1229</v>
      </c>
      <c r="D538" s="3" t="s">
        <v>1230</v>
      </c>
      <c r="E538" s="3" t="s">
        <v>1231</v>
      </c>
      <c r="F538" s="79">
        <v>-503</v>
      </c>
      <c r="G538" s="3" t="s">
        <v>1221</v>
      </c>
      <c r="H538" s="3" t="s">
        <v>1723</v>
      </c>
      <c r="I538" s="3"/>
      <c r="J538" s="3" t="s">
        <v>1224</v>
      </c>
      <c r="K538" s="3" t="s">
        <v>1232</v>
      </c>
      <c r="L538" s="3" t="s">
        <v>1233</v>
      </c>
      <c r="M538" s="3" t="s">
        <v>1234</v>
      </c>
      <c r="N538" s="3" t="s">
        <v>1725</v>
      </c>
    </row>
    <row r="539" spans="1:14" x14ac:dyDescent="0.45">
      <c r="A539" s="3" t="s">
        <v>584</v>
      </c>
      <c r="B539" s="3" t="s">
        <v>585</v>
      </c>
      <c r="C539" s="3" t="s">
        <v>1236</v>
      </c>
      <c r="D539" s="3" t="s">
        <v>1237</v>
      </c>
      <c r="E539" s="3" t="s">
        <v>1238</v>
      </c>
      <c r="F539" s="79">
        <v>-98</v>
      </c>
      <c r="G539" s="3" t="s">
        <v>1221</v>
      </c>
      <c r="H539" s="3" t="s">
        <v>1723</v>
      </c>
      <c r="I539" s="3"/>
      <c r="J539" s="3" t="s">
        <v>1224</v>
      </c>
      <c r="K539" s="3" t="s">
        <v>1239</v>
      </c>
      <c r="L539" s="3" t="s">
        <v>1240</v>
      </c>
      <c r="M539" s="3" t="s">
        <v>1241</v>
      </c>
      <c r="N539" s="3" t="s">
        <v>1664</v>
      </c>
    </row>
    <row r="540" spans="1:14" x14ac:dyDescent="0.45">
      <c r="A540" s="3" t="s">
        <v>584</v>
      </c>
      <c r="B540" s="3" t="s">
        <v>585</v>
      </c>
      <c r="C540" s="3" t="s">
        <v>1243</v>
      </c>
      <c r="D540" s="3" t="s">
        <v>1244</v>
      </c>
      <c r="E540" s="3" t="s">
        <v>1245</v>
      </c>
      <c r="F540" s="79">
        <v>-86</v>
      </c>
      <c r="G540" s="3" t="s">
        <v>1221</v>
      </c>
      <c r="H540" s="3" t="s">
        <v>1723</v>
      </c>
      <c r="I540" s="3"/>
      <c r="J540" s="3" t="s">
        <v>1224</v>
      </c>
      <c r="K540" s="3" t="s">
        <v>1246</v>
      </c>
      <c r="L540" s="3" t="s">
        <v>1247</v>
      </c>
      <c r="M540" s="3" t="s">
        <v>1248</v>
      </c>
      <c r="N540" s="3" t="s">
        <v>1726</v>
      </c>
    </row>
    <row r="541" spans="1:14" x14ac:dyDescent="0.45">
      <c r="A541" s="3" t="s">
        <v>584</v>
      </c>
      <c r="B541" s="3" t="s">
        <v>585</v>
      </c>
      <c r="C541" s="3" t="s">
        <v>1250</v>
      </c>
      <c r="D541" s="3" t="s">
        <v>1251</v>
      </c>
      <c r="E541" s="3" t="s">
        <v>1252</v>
      </c>
      <c r="F541" s="79">
        <v>-39</v>
      </c>
      <c r="G541" s="3" t="s">
        <v>1221</v>
      </c>
      <c r="H541" s="3" t="s">
        <v>1723</v>
      </c>
      <c r="I541" s="3"/>
      <c r="J541" s="3" t="s">
        <v>1224</v>
      </c>
      <c r="K541" s="3" t="s">
        <v>1246</v>
      </c>
      <c r="L541" s="3" t="s">
        <v>1247</v>
      </c>
      <c r="M541" s="3" t="s">
        <v>1248</v>
      </c>
      <c r="N541" s="3" t="s">
        <v>1727</v>
      </c>
    </row>
    <row r="542" spans="1:14" x14ac:dyDescent="0.45">
      <c r="A542" s="3" t="s">
        <v>584</v>
      </c>
      <c r="B542" s="3" t="s">
        <v>585</v>
      </c>
      <c r="C542" s="3" t="s">
        <v>1254</v>
      </c>
      <c r="D542" s="3" t="s">
        <v>1255</v>
      </c>
      <c r="E542" s="3" t="s">
        <v>1256</v>
      </c>
      <c r="F542" s="79">
        <v>-172</v>
      </c>
      <c r="G542" s="3" t="s">
        <v>1221</v>
      </c>
      <c r="H542" s="3" t="s">
        <v>1723</v>
      </c>
      <c r="I542" s="3"/>
      <c r="J542" s="3" t="s">
        <v>1224</v>
      </c>
      <c r="K542" s="3" t="s">
        <v>1246</v>
      </c>
      <c r="L542" s="3" t="s">
        <v>1247</v>
      </c>
      <c r="M542" s="3" t="s">
        <v>1248</v>
      </c>
      <c r="N542" s="3" t="s">
        <v>1728</v>
      </c>
    </row>
    <row r="543" spans="1:14" x14ac:dyDescent="0.45">
      <c r="A543" s="3" t="s">
        <v>584</v>
      </c>
      <c r="B543" s="3" t="s">
        <v>585</v>
      </c>
      <c r="C543" s="3" t="s">
        <v>1258</v>
      </c>
      <c r="D543" s="3" t="s">
        <v>1230</v>
      </c>
      <c r="E543" s="3" t="s">
        <v>1259</v>
      </c>
      <c r="F543" s="79">
        <v>-42</v>
      </c>
      <c r="G543" s="3" t="s">
        <v>1221</v>
      </c>
      <c r="H543" s="3" t="s">
        <v>1723</v>
      </c>
      <c r="I543" s="3"/>
      <c r="J543" s="3" t="s">
        <v>1260</v>
      </c>
      <c r="K543" s="3" t="s">
        <v>1261</v>
      </c>
      <c r="L543" s="3" t="s">
        <v>1262</v>
      </c>
      <c r="M543" s="3" t="s">
        <v>1263</v>
      </c>
      <c r="N543" s="3" t="s">
        <v>1729</v>
      </c>
    </row>
    <row r="544" spans="1:14" x14ac:dyDescent="0.45">
      <c r="A544" s="3" t="s">
        <v>584</v>
      </c>
      <c r="B544" s="3" t="s">
        <v>585</v>
      </c>
      <c r="C544" s="3" t="s">
        <v>1265</v>
      </c>
      <c r="D544" s="3" t="s">
        <v>1237</v>
      </c>
      <c r="E544" s="3" t="s">
        <v>1266</v>
      </c>
      <c r="F544" s="79">
        <v>-3</v>
      </c>
      <c r="G544" s="3" t="s">
        <v>1221</v>
      </c>
      <c r="H544" s="3" t="s">
        <v>1723</v>
      </c>
      <c r="I544" s="3"/>
      <c r="J544" s="3" t="s">
        <v>1260</v>
      </c>
      <c r="K544" s="3" t="s">
        <v>1267</v>
      </c>
      <c r="L544" s="3" t="s">
        <v>1268</v>
      </c>
      <c r="M544" s="3" t="s">
        <v>1269</v>
      </c>
      <c r="N544" s="3" t="s">
        <v>1652</v>
      </c>
    </row>
    <row r="545" spans="1:14" x14ac:dyDescent="0.45">
      <c r="A545" s="3" t="s">
        <v>584</v>
      </c>
      <c r="B545" s="3" t="s">
        <v>585</v>
      </c>
      <c r="C545" s="3" t="s">
        <v>1678</v>
      </c>
      <c r="D545" s="3" t="s">
        <v>1237</v>
      </c>
      <c r="E545" s="3" t="s">
        <v>1273</v>
      </c>
      <c r="F545" s="79">
        <v>-42</v>
      </c>
      <c r="G545" s="3" t="s">
        <v>1221</v>
      </c>
      <c r="H545" s="3" t="s">
        <v>1723</v>
      </c>
      <c r="I545" s="3"/>
      <c r="J545" s="3" t="s">
        <v>1260</v>
      </c>
      <c r="K545" s="3" t="s">
        <v>1274</v>
      </c>
      <c r="L545" s="3" t="s">
        <v>1275</v>
      </c>
      <c r="M545" s="3" t="s">
        <v>1276</v>
      </c>
      <c r="N545" s="3" t="s">
        <v>1729</v>
      </c>
    </row>
    <row r="546" spans="1:14" x14ac:dyDescent="0.45">
      <c r="A546" s="3" t="s">
        <v>584</v>
      </c>
      <c r="B546" s="3" t="s">
        <v>585</v>
      </c>
      <c r="C546" s="3" t="s">
        <v>1285</v>
      </c>
      <c r="D546" s="3" t="s">
        <v>1237</v>
      </c>
      <c r="E546" s="3" t="s">
        <v>1280</v>
      </c>
      <c r="F546" s="79">
        <v>-25</v>
      </c>
      <c r="G546" s="3" t="s">
        <v>1221</v>
      </c>
      <c r="H546" s="3" t="s">
        <v>1723</v>
      </c>
      <c r="I546" s="3"/>
      <c r="J546" s="3" t="s">
        <v>1260</v>
      </c>
      <c r="K546" s="3" t="s">
        <v>1281</v>
      </c>
      <c r="L546" s="3" t="s">
        <v>1282</v>
      </c>
      <c r="M546" s="3" t="s">
        <v>1283</v>
      </c>
      <c r="N546" s="3" t="s">
        <v>1730</v>
      </c>
    </row>
    <row r="547" spans="1:14" x14ac:dyDescent="0.45">
      <c r="A547" s="3" t="s">
        <v>584</v>
      </c>
      <c r="B547" s="3" t="s">
        <v>585</v>
      </c>
      <c r="C547" s="3" t="s">
        <v>1287</v>
      </c>
      <c r="D547" s="3" t="s">
        <v>1244</v>
      </c>
      <c r="E547" s="3" t="s">
        <v>1288</v>
      </c>
      <c r="F547" s="79">
        <v>-42</v>
      </c>
      <c r="G547" s="3" t="s">
        <v>1221</v>
      </c>
      <c r="H547" s="3" t="s">
        <v>1723</v>
      </c>
      <c r="I547" s="3"/>
      <c r="J547" s="3" t="s">
        <v>1260</v>
      </c>
      <c r="K547" s="3" t="s">
        <v>1289</v>
      </c>
      <c r="L547" s="3" t="s">
        <v>1290</v>
      </c>
      <c r="M547" s="3" t="s">
        <v>1291</v>
      </c>
      <c r="N547" s="3" t="s">
        <v>1729</v>
      </c>
    </row>
    <row r="548" spans="1:14" x14ac:dyDescent="0.45">
      <c r="A548" s="3" t="s">
        <v>584</v>
      </c>
      <c r="B548" s="3" t="s">
        <v>585</v>
      </c>
      <c r="C548" s="3" t="s">
        <v>1680</v>
      </c>
      <c r="D548" s="3" t="s">
        <v>1244</v>
      </c>
      <c r="E548" s="3" t="s">
        <v>1295</v>
      </c>
      <c r="F548" s="79">
        <v>-54</v>
      </c>
      <c r="G548" s="3" t="s">
        <v>1221</v>
      </c>
      <c r="H548" s="3" t="s">
        <v>1723</v>
      </c>
      <c r="I548" s="3"/>
      <c r="J548" s="3" t="s">
        <v>1260</v>
      </c>
      <c r="K548" s="3" t="s">
        <v>1296</v>
      </c>
      <c r="L548" s="3" t="s">
        <v>1297</v>
      </c>
      <c r="M548" s="3" t="s">
        <v>1298</v>
      </c>
      <c r="N548" s="3" t="s">
        <v>1637</v>
      </c>
    </row>
    <row r="549" spans="1:14" x14ac:dyDescent="0.45">
      <c r="A549" s="3" t="s">
        <v>584</v>
      </c>
      <c r="B549" s="3" t="s">
        <v>585</v>
      </c>
      <c r="C549" s="3" t="s">
        <v>1307</v>
      </c>
      <c r="D549" s="3" t="s">
        <v>1244</v>
      </c>
      <c r="E549" s="3" t="s">
        <v>1302</v>
      </c>
      <c r="F549" s="79">
        <v>-85</v>
      </c>
      <c r="G549" s="3" t="s">
        <v>1221</v>
      </c>
      <c r="H549" s="3" t="s">
        <v>1723</v>
      </c>
      <c r="I549" s="3"/>
      <c r="J549" s="3" t="s">
        <v>1260</v>
      </c>
      <c r="K549" s="3" t="s">
        <v>1303</v>
      </c>
      <c r="L549" s="3" t="s">
        <v>1304</v>
      </c>
      <c r="M549" s="3" t="s">
        <v>1305</v>
      </c>
      <c r="N549" s="3" t="s">
        <v>1608</v>
      </c>
    </row>
    <row r="550" spans="1:14" x14ac:dyDescent="0.45">
      <c r="A550" s="3" t="s">
        <v>584</v>
      </c>
      <c r="B550" s="3" t="s">
        <v>585</v>
      </c>
      <c r="C550" s="3" t="s">
        <v>1309</v>
      </c>
      <c r="D550" s="3" t="s">
        <v>1251</v>
      </c>
      <c r="E550" s="3" t="s">
        <v>1310</v>
      </c>
      <c r="F550" s="79">
        <v>-29</v>
      </c>
      <c r="G550" s="3" t="s">
        <v>1221</v>
      </c>
      <c r="H550" s="3" t="s">
        <v>1723</v>
      </c>
      <c r="I550" s="3"/>
      <c r="J550" s="3" t="s">
        <v>1260</v>
      </c>
      <c r="K550" s="3" t="s">
        <v>1311</v>
      </c>
      <c r="L550" s="3" t="s">
        <v>1312</v>
      </c>
      <c r="M550" s="3" t="s">
        <v>1313</v>
      </c>
      <c r="N550" s="3" t="s">
        <v>1731</v>
      </c>
    </row>
    <row r="551" spans="1:14" x14ac:dyDescent="0.45">
      <c r="A551" s="3" t="s">
        <v>584</v>
      </c>
      <c r="B551" s="3" t="s">
        <v>585</v>
      </c>
      <c r="C551" s="3" t="s">
        <v>1681</v>
      </c>
      <c r="D551" s="3" t="s">
        <v>1251</v>
      </c>
      <c r="E551" s="3" t="s">
        <v>1317</v>
      </c>
      <c r="F551" s="79">
        <v>-33</v>
      </c>
      <c r="G551" s="3" t="s">
        <v>1221</v>
      </c>
      <c r="H551" s="3" t="s">
        <v>1723</v>
      </c>
      <c r="I551" s="3"/>
      <c r="J551" s="3" t="s">
        <v>1260</v>
      </c>
      <c r="K551" s="3" t="s">
        <v>1318</v>
      </c>
      <c r="L551" s="3" t="s">
        <v>1319</v>
      </c>
      <c r="M551" s="3" t="s">
        <v>1320</v>
      </c>
      <c r="N551" s="3" t="s">
        <v>1732</v>
      </c>
    </row>
    <row r="552" spans="1:14" x14ac:dyDescent="0.45">
      <c r="A552" s="3" t="s">
        <v>584</v>
      </c>
      <c r="B552" s="3" t="s">
        <v>585</v>
      </c>
      <c r="C552" s="3" t="s">
        <v>1329</v>
      </c>
      <c r="D552" s="3" t="s">
        <v>1251</v>
      </c>
      <c r="E552" s="3" t="s">
        <v>1324</v>
      </c>
      <c r="F552" s="79">
        <v>-24</v>
      </c>
      <c r="G552" s="3" t="s">
        <v>1221</v>
      </c>
      <c r="H552" s="3" t="s">
        <v>1723</v>
      </c>
      <c r="I552" s="3"/>
      <c r="J552" s="3" t="s">
        <v>1260</v>
      </c>
      <c r="K552" s="3" t="s">
        <v>1325</v>
      </c>
      <c r="L552" s="3" t="s">
        <v>1326</v>
      </c>
      <c r="M552" s="3" t="s">
        <v>1327</v>
      </c>
      <c r="N552" s="3" t="s">
        <v>1733</v>
      </c>
    </row>
    <row r="553" spans="1:14" x14ac:dyDescent="0.45">
      <c r="A553" s="3" t="s">
        <v>584</v>
      </c>
      <c r="B553" s="3" t="s">
        <v>585</v>
      </c>
      <c r="C553" s="3" t="s">
        <v>1331</v>
      </c>
      <c r="D553" s="3" t="s">
        <v>1255</v>
      </c>
      <c r="E553" s="3" t="s">
        <v>1332</v>
      </c>
      <c r="F553" s="79">
        <v>22</v>
      </c>
      <c r="G553" s="3" t="s">
        <v>1221</v>
      </c>
      <c r="H553" s="3" t="s">
        <v>1723</v>
      </c>
      <c r="I553" s="3"/>
      <c r="J553" s="3" t="s">
        <v>1260</v>
      </c>
      <c r="K553" s="3" t="s">
        <v>1333</v>
      </c>
      <c r="L553" s="3" t="s">
        <v>1334</v>
      </c>
      <c r="M553" s="3" t="s">
        <v>1335</v>
      </c>
      <c r="N553" s="3" t="s">
        <v>1634</v>
      </c>
    </row>
    <row r="554" spans="1:14" x14ac:dyDescent="0.45">
      <c r="A554" s="3" t="s">
        <v>584</v>
      </c>
      <c r="B554" s="3" t="s">
        <v>585</v>
      </c>
      <c r="C554" s="3" t="s">
        <v>1684</v>
      </c>
      <c r="D554" s="3" t="s">
        <v>1255</v>
      </c>
      <c r="E554" s="3" t="s">
        <v>1339</v>
      </c>
      <c r="F554" s="79">
        <v>-16</v>
      </c>
      <c r="G554" s="3" t="s">
        <v>1221</v>
      </c>
      <c r="H554" s="3" t="s">
        <v>1723</v>
      </c>
      <c r="I554" s="3"/>
      <c r="J554" s="3" t="s">
        <v>1260</v>
      </c>
      <c r="K554" s="3" t="s">
        <v>1340</v>
      </c>
      <c r="L554" s="3" t="s">
        <v>1341</v>
      </c>
      <c r="M554" s="3" t="s">
        <v>1342</v>
      </c>
      <c r="N554" s="3" t="s">
        <v>1616</v>
      </c>
    </row>
    <row r="555" spans="1:14" x14ac:dyDescent="0.45">
      <c r="A555" s="3" t="s">
        <v>584</v>
      </c>
      <c r="B555" s="3" t="s">
        <v>585</v>
      </c>
      <c r="C555" s="3" t="s">
        <v>1348</v>
      </c>
      <c r="D555" s="3" t="s">
        <v>1255</v>
      </c>
      <c r="E555" s="3" t="s">
        <v>1346</v>
      </c>
      <c r="F555" s="79">
        <v>-20</v>
      </c>
      <c r="G555" s="3" t="s">
        <v>1221</v>
      </c>
      <c r="H555" s="3" t="s">
        <v>1723</v>
      </c>
      <c r="I555" s="3"/>
      <c r="J555" s="3" t="s">
        <v>1260</v>
      </c>
      <c r="K555" s="3" t="s">
        <v>1325</v>
      </c>
      <c r="L555" s="3" t="s">
        <v>1326</v>
      </c>
      <c r="M555" s="3" t="s">
        <v>1327</v>
      </c>
      <c r="N555" s="3" t="s">
        <v>1711</v>
      </c>
    </row>
    <row r="556" spans="1:14" x14ac:dyDescent="0.45">
      <c r="A556" s="3" t="s">
        <v>584</v>
      </c>
      <c r="B556" s="3" t="s">
        <v>585</v>
      </c>
      <c r="C556" s="3" t="s">
        <v>1350</v>
      </c>
      <c r="D556" s="3" t="s">
        <v>1351</v>
      </c>
      <c r="E556" s="3" t="s">
        <v>1352</v>
      </c>
      <c r="F556" s="79">
        <v>-75</v>
      </c>
      <c r="G556" s="3" t="s">
        <v>1221</v>
      </c>
      <c r="H556" s="3" t="s">
        <v>1723</v>
      </c>
      <c r="I556" s="3"/>
      <c r="J556" s="3" t="s">
        <v>1260</v>
      </c>
      <c r="K556" s="3" t="s">
        <v>1333</v>
      </c>
      <c r="L556" s="3" t="s">
        <v>1334</v>
      </c>
      <c r="M556" s="3" t="s">
        <v>1335</v>
      </c>
      <c r="N556" s="3" t="s">
        <v>1734</v>
      </c>
    </row>
    <row r="557" spans="1:14" x14ac:dyDescent="0.45">
      <c r="A557" s="3" t="s">
        <v>584</v>
      </c>
      <c r="B557" s="3" t="s">
        <v>585</v>
      </c>
      <c r="C557" s="3" t="s">
        <v>1686</v>
      </c>
      <c r="D557" s="3" t="s">
        <v>1351</v>
      </c>
      <c r="E557" s="3" t="s">
        <v>1356</v>
      </c>
      <c r="F557" s="79">
        <v>-142</v>
      </c>
      <c r="G557" s="3" t="s">
        <v>1221</v>
      </c>
      <c r="H557" s="3" t="s">
        <v>1723</v>
      </c>
      <c r="I557" s="3"/>
      <c r="J557" s="3" t="s">
        <v>1260</v>
      </c>
      <c r="K557" s="3" t="s">
        <v>1340</v>
      </c>
      <c r="L557" s="3" t="s">
        <v>1341</v>
      </c>
      <c r="M557" s="3" t="s">
        <v>1342</v>
      </c>
      <c r="N557" s="3" t="s">
        <v>1735</v>
      </c>
    </row>
    <row r="558" spans="1:14" x14ac:dyDescent="0.45">
      <c r="A558" s="3" t="s">
        <v>1155</v>
      </c>
      <c r="B558" s="3" t="s">
        <v>588</v>
      </c>
      <c r="C558" s="3" t="s">
        <v>1236</v>
      </c>
      <c r="D558" s="3" t="s">
        <v>1237</v>
      </c>
      <c r="E558" s="3" t="s">
        <v>1238</v>
      </c>
      <c r="F558" s="79">
        <v>0</v>
      </c>
      <c r="G558" s="3" t="s">
        <v>1221</v>
      </c>
      <c r="H558" s="3" t="s">
        <v>1736</v>
      </c>
      <c r="I558" s="3"/>
      <c r="J558" s="3" t="s">
        <v>1224</v>
      </c>
      <c r="K558" s="3" t="s">
        <v>1239</v>
      </c>
      <c r="L558" s="3" t="s">
        <v>1240</v>
      </c>
      <c r="M558" s="3" t="s">
        <v>1241</v>
      </c>
      <c r="N558" s="3" t="s">
        <v>1571</v>
      </c>
    </row>
    <row r="559" spans="1:14" x14ac:dyDescent="0.45">
      <c r="A559" s="3" t="s">
        <v>1155</v>
      </c>
      <c r="B559" s="3" t="s">
        <v>588</v>
      </c>
      <c r="C559" s="3" t="s">
        <v>1243</v>
      </c>
      <c r="D559" s="3" t="s">
        <v>1244</v>
      </c>
      <c r="E559" s="3" t="s">
        <v>1245</v>
      </c>
      <c r="F559" s="79">
        <v>0</v>
      </c>
      <c r="G559" s="3" t="s">
        <v>1221</v>
      </c>
      <c r="H559" s="3" t="s">
        <v>1736</v>
      </c>
      <c r="I559" s="3"/>
      <c r="J559" s="3" t="s">
        <v>1224</v>
      </c>
      <c r="K559" s="3" t="s">
        <v>1246</v>
      </c>
      <c r="L559" s="3" t="s">
        <v>1247</v>
      </c>
      <c r="M559" s="3" t="s">
        <v>1248</v>
      </c>
      <c r="N559" s="3" t="s">
        <v>1571</v>
      </c>
    </row>
    <row r="560" spans="1:14" x14ac:dyDescent="0.45">
      <c r="A560" s="3" t="s">
        <v>1155</v>
      </c>
      <c r="B560" s="3" t="s">
        <v>588</v>
      </c>
      <c r="C560" s="3" t="s">
        <v>1250</v>
      </c>
      <c r="D560" s="3" t="s">
        <v>1251</v>
      </c>
      <c r="E560" s="3" t="s">
        <v>1252</v>
      </c>
      <c r="F560" s="79">
        <v>56</v>
      </c>
      <c r="G560" s="3" t="s">
        <v>1221</v>
      </c>
      <c r="H560" s="3" t="s">
        <v>1736</v>
      </c>
      <c r="I560" s="3"/>
      <c r="J560" s="3" t="s">
        <v>1224</v>
      </c>
      <c r="K560" s="3" t="s">
        <v>1246</v>
      </c>
      <c r="L560" s="3" t="s">
        <v>1247</v>
      </c>
      <c r="M560" s="3" t="s">
        <v>1248</v>
      </c>
      <c r="N560" s="3" t="s">
        <v>1426</v>
      </c>
    </row>
    <row r="561" spans="1:14" x14ac:dyDescent="0.45">
      <c r="A561" s="3" t="s">
        <v>1155</v>
      </c>
      <c r="B561" s="3" t="s">
        <v>588</v>
      </c>
      <c r="C561" s="3" t="s">
        <v>1254</v>
      </c>
      <c r="D561" s="3" t="s">
        <v>1255</v>
      </c>
      <c r="E561" s="3" t="s">
        <v>1256</v>
      </c>
      <c r="F561" s="79">
        <v>107</v>
      </c>
      <c r="G561" s="3" t="s">
        <v>1221</v>
      </c>
      <c r="H561" s="3" t="s">
        <v>1736</v>
      </c>
      <c r="I561" s="3"/>
      <c r="J561" s="3" t="s">
        <v>1224</v>
      </c>
      <c r="K561" s="3" t="s">
        <v>1246</v>
      </c>
      <c r="L561" s="3" t="s">
        <v>1247</v>
      </c>
      <c r="M561" s="3" t="s">
        <v>1248</v>
      </c>
      <c r="N561" s="3" t="s">
        <v>1292</v>
      </c>
    </row>
    <row r="562" spans="1:14" x14ac:dyDescent="0.45">
      <c r="A562" s="3" t="s">
        <v>1155</v>
      </c>
      <c r="B562" s="3" t="s">
        <v>588</v>
      </c>
      <c r="C562" s="3" t="s">
        <v>1258</v>
      </c>
      <c r="D562" s="3" t="s">
        <v>1230</v>
      </c>
      <c r="E562" s="3" t="s">
        <v>1259</v>
      </c>
      <c r="F562" s="79">
        <v>0</v>
      </c>
      <c r="G562" s="3" t="s">
        <v>1221</v>
      </c>
      <c r="H562" s="3" t="s">
        <v>1736</v>
      </c>
      <c r="I562" s="3"/>
      <c r="J562" s="3" t="s">
        <v>1260</v>
      </c>
      <c r="K562" s="3" t="s">
        <v>1737</v>
      </c>
      <c r="L562" s="3" t="s">
        <v>1738</v>
      </c>
      <c r="M562" s="3" t="s">
        <v>1739</v>
      </c>
      <c r="N562" s="3" t="s">
        <v>1740</v>
      </c>
    </row>
    <row r="563" spans="1:14" x14ac:dyDescent="0.45">
      <c r="A563" s="3" t="s">
        <v>1155</v>
      </c>
      <c r="B563" s="3" t="s">
        <v>588</v>
      </c>
      <c r="C563" s="3" t="s">
        <v>1287</v>
      </c>
      <c r="D563" s="3" t="s">
        <v>1244</v>
      </c>
      <c r="E563" s="3" t="s">
        <v>1288</v>
      </c>
      <c r="F563" s="79">
        <v>0</v>
      </c>
      <c r="G563" s="3" t="s">
        <v>1221</v>
      </c>
      <c r="H563" s="3" t="s">
        <v>1736</v>
      </c>
      <c r="I563" s="3"/>
      <c r="J563" s="3" t="s">
        <v>1260</v>
      </c>
      <c r="K563" s="3" t="s">
        <v>1289</v>
      </c>
      <c r="L563" s="3" t="s">
        <v>1290</v>
      </c>
      <c r="M563" s="3" t="s">
        <v>1291</v>
      </c>
      <c r="N563" s="3" t="s">
        <v>1571</v>
      </c>
    </row>
    <row r="564" spans="1:14" x14ac:dyDescent="0.45">
      <c r="A564" s="3" t="s">
        <v>1155</v>
      </c>
      <c r="B564" s="3" t="s">
        <v>588</v>
      </c>
      <c r="C564" s="3" t="s">
        <v>1680</v>
      </c>
      <c r="D564" s="3" t="s">
        <v>1244</v>
      </c>
      <c r="E564" s="3" t="s">
        <v>1295</v>
      </c>
      <c r="F564" s="79">
        <v>0</v>
      </c>
      <c r="G564" s="3" t="s">
        <v>1221</v>
      </c>
      <c r="H564" s="3" t="s">
        <v>1736</v>
      </c>
      <c r="I564" s="3"/>
      <c r="J564" s="3" t="s">
        <v>1260</v>
      </c>
      <c r="K564" s="3" t="s">
        <v>1296</v>
      </c>
      <c r="L564" s="3" t="s">
        <v>1297</v>
      </c>
      <c r="M564" s="3" t="s">
        <v>1298</v>
      </c>
      <c r="N564" s="3" t="s">
        <v>1571</v>
      </c>
    </row>
    <row r="565" spans="1:14" x14ac:dyDescent="0.45">
      <c r="A565" s="3" t="s">
        <v>1155</v>
      </c>
      <c r="B565" s="3" t="s">
        <v>588</v>
      </c>
      <c r="C565" s="3" t="s">
        <v>1307</v>
      </c>
      <c r="D565" s="3" t="s">
        <v>1244</v>
      </c>
      <c r="E565" s="3" t="s">
        <v>1302</v>
      </c>
      <c r="F565" s="79">
        <v>0</v>
      </c>
      <c r="G565" s="3" t="s">
        <v>1221</v>
      </c>
      <c r="H565" s="3" t="s">
        <v>1736</v>
      </c>
      <c r="I565" s="3"/>
      <c r="J565" s="3" t="s">
        <v>1260</v>
      </c>
      <c r="K565" s="3" t="s">
        <v>1303</v>
      </c>
      <c r="L565" s="3" t="s">
        <v>1304</v>
      </c>
      <c r="M565" s="3" t="s">
        <v>1305</v>
      </c>
      <c r="N565" s="3" t="s">
        <v>1571</v>
      </c>
    </row>
    <row r="566" spans="1:14" x14ac:dyDescent="0.45">
      <c r="A566" s="3" t="s">
        <v>1155</v>
      </c>
      <c r="B566" s="3" t="s">
        <v>588</v>
      </c>
      <c r="C566" s="3" t="s">
        <v>1309</v>
      </c>
      <c r="D566" s="3" t="s">
        <v>1251</v>
      </c>
      <c r="E566" s="3" t="s">
        <v>1310</v>
      </c>
      <c r="F566" s="79">
        <v>4</v>
      </c>
      <c r="G566" s="3" t="s">
        <v>1221</v>
      </c>
      <c r="H566" s="3" t="s">
        <v>1736</v>
      </c>
      <c r="I566" s="3"/>
      <c r="J566" s="3" t="s">
        <v>1260</v>
      </c>
      <c r="K566" s="3" t="s">
        <v>1311</v>
      </c>
      <c r="L566" s="3" t="s">
        <v>1312</v>
      </c>
      <c r="M566" s="3" t="s">
        <v>1313</v>
      </c>
      <c r="N566" s="3" t="s">
        <v>1459</v>
      </c>
    </row>
    <row r="567" spans="1:14" x14ac:dyDescent="0.45">
      <c r="A567" s="3" t="s">
        <v>1155</v>
      </c>
      <c r="B567" s="3" t="s">
        <v>588</v>
      </c>
      <c r="C567" s="3" t="s">
        <v>1681</v>
      </c>
      <c r="D567" s="3" t="s">
        <v>1251</v>
      </c>
      <c r="E567" s="3" t="s">
        <v>1317</v>
      </c>
      <c r="F567" s="79">
        <v>36</v>
      </c>
      <c r="G567" s="3" t="s">
        <v>1221</v>
      </c>
      <c r="H567" s="3" t="s">
        <v>1736</v>
      </c>
      <c r="I567" s="3"/>
      <c r="J567" s="3" t="s">
        <v>1260</v>
      </c>
      <c r="K567" s="3" t="s">
        <v>1318</v>
      </c>
      <c r="L567" s="3" t="s">
        <v>1319</v>
      </c>
      <c r="M567" s="3" t="s">
        <v>1320</v>
      </c>
      <c r="N567" s="3" t="s">
        <v>1420</v>
      </c>
    </row>
    <row r="568" spans="1:14" x14ac:dyDescent="0.45">
      <c r="A568" s="3" t="s">
        <v>1155</v>
      </c>
      <c r="B568" s="3" t="s">
        <v>588</v>
      </c>
      <c r="C568" s="3" t="s">
        <v>1329</v>
      </c>
      <c r="D568" s="3" t="s">
        <v>1251</v>
      </c>
      <c r="E568" s="3" t="s">
        <v>1324</v>
      </c>
      <c r="F568" s="79">
        <v>56</v>
      </c>
      <c r="G568" s="3" t="s">
        <v>1221</v>
      </c>
      <c r="H568" s="3" t="s">
        <v>1736</v>
      </c>
      <c r="I568" s="3"/>
      <c r="J568" s="3" t="s">
        <v>1260</v>
      </c>
      <c r="K568" s="3" t="s">
        <v>1325</v>
      </c>
      <c r="L568" s="3" t="s">
        <v>1326</v>
      </c>
      <c r="M568" s="3" t="s">
        <v>1327</v>
      </c>
      <c r="N568" s="3" t="s">
        <v>1426</v>
      </c>
    </row>
    <row r="569" spans="1:14" x14ac:dyDescent="0.45">
      <c r="A569" s="3" t="s">
        <v>1155</v>
      </c>
      <c r="B569" s="3" t="s">
        <v>588</v>
      </c>
      <c r="C569" s="3" t="s">
        <v>1331</v>
      </c>
      <c r="D569" s="3" t="s">
        <v>1255</v>
      </c>
      <c r="E569" s="3" t="s">
        <v>1332</v>
      </c>
      <c r="F569" s="79">
        <v>17</v>
      </c>
      <c r="G569" s="3" t="s">
        <v>1221</v>
      </c>
      <c r="H569" s="3" t="s">
        <v>1736</v>
      </c>
      <c r="I569" s="3"/>
      <c r="J569" s="3" t="s">
        <v>1260</v>
      </c>
      <c r="K569" s="3" t="s">
        <v>1333</v>
      </c>
      <c r="L569" s="3" t="s">
        <v>1334</v>
      </c>
      <c r="M569" s="3" t="s">
        <v>1335</v>
      </c>
      <c r="N569" s="3" t="s">
        <v>1722</v>
      </c>
    </row>
    <row r="570" spans="1:14" x14ac:dyDescent="0.45">
      <c r="A570" s="3" t="s">
        <v>1155</v>
      </c>
      <c r="B570" s="3" t="s">
        <v>588</v>
      </c>
      <c r="C570" s="3" t="s">
        <v>1684</v>
      </c>
      <c r="D570" s="3" t="s">
        <v>1255</v>
      </c>
      <c r="E570" s="3" t="s">
        <v>1339</v>
      </c>
      <c r="F570" s="79">
        <v>31</v>
      </c>
      <c r="G570" s="3" t="s">
        <v>1221</v>
      </c>
      <c r="H570" s="3" t="s">
        <v>1736</v>
      </c>
      <c r="I570" s="3"/>
      <c r="J570" s="3" t="s">
        <v>1260</v>
      </c>
      <c r="K570" s="3" t="s">
        <v>1340</v>
      </c>
      <c r="L570" s="3" t="s">
        <v>1341</v>
      </c>
      <c r="M570" s="3" t="s">
        <v>1342</v>
      </c>
      <c r="N570" s="3" t="s">
        <v>1721</v>
      </c>
    </row>
    <row r="571" spans="1:14" x14ac:dyDescent="0.45">
      <c r="A571" s="3" t="s">
        <v>1155</v>
      </c>
      <c r="B571" s="3" t="s">
        <v>588</v>
      </c>
      <c r="C571" s="3" t="s">
        <v>1348</v>
      </c>
      <c r="D571" s="3" t="s">
        <v>1255</v>
      </c>
      <c r="E571" s="3" t="s">
        <v>1346</v>
      </c>
      <c r="F571" s="79">
        <v>54</v>
      </c>
      <c r="G571" s="3" t="s">
        <v>1221</v>
      </c>
      <c r="H571" s="3" t="s">
        <v>1736</v>
      </c>
      <c r="I571" s="3"/>
      <c r="J571" s="3" t="s">
        <v>1260</v>
      </c>
      <c r="K571" s="3" t="s">
        <v>1325</v>
      </c>
      <c r="L571" s="3" t="s">
        <v>1326</v>
      </c>
      <c r="M571" s="3" t="s">
        <v>1327</v>
      </c>
      <c r="N571" s="3" t="s">
        <v>1700</v>
      </c>
    </row>
    <row r="572" spans="1:14" x14ac:dyDescent="0.45">
      <c r="A572" s="3" t="s">
        <v>1155</v>
      </c>
      <c r="B572" s="3" t="s">
        <v>588</v>
      </c>
      <c r="C572" s="3" t="s">
        <v>1350</v>
      </c>
      <c r="D572" s="3" t="s">
        <v>1351</v>
      </c>
      <c r="E572" s="3" t="s">
        <v>1352</v>
      </c>
      <c r="F572" s="79">
        <v>323</v>
      </c>
      <c r="G572" s="3" t="s">
        <v>1221</v>
      </c>
      <c r="H572" s="3" t="s">
        <v>1736</v>
      </c>
      <c r="I572" s="3"/>
      <c r="J572" s="3" t="s">
        <v>1260</v>
      </c>
      <c r="K572" s="3" t="s">
        <v>1333</v>
      </c>
      <c r="L572" s="3" t="s">
        <v>1334</v>
      </c>
      <c r="M572" s="3" t="s">
        <v>1335</v>
      </c>
      <c r="N572" s="3" t="s">
        <v>1741</v>
      </c>
    </row>
    <row r="573" spans="1:14" x14ac:dyDescent="0.45">
      <c r="A573" s="3" t="s">
        <v>1155</v>
      </c>
      <c r="B573" s="3" t="s">
        <v>588</v>
      </c>
      <c r="C573" s="3" t="s">
        <v>1686</v>
      </c>
      <c r="D573" s="3" t="s">
        <v>1351</v>
      </c>
      <c r="E573" s="3" t="s">
        <v>1356</v>
      </c>
      <c r="F573" s="79">
        <v>486</v>
      </c>
      <c r="G573" s="3" t="s">
        <v>1221</v>
      </c>
      <c r="H573" s="3" t="s">
        <v>1736</v>
      </c>
      <c r="I573" s="3"/>
      <c r="J573" s="3" t="s">
        <v>1260</v>
      </c>
      <c r="K573" s="3" t="s">
        <v>1340</v>
      </c>
      <c r="L573" s="3" t="s">
        <v>1341</v>
      </c>
      <c r="M573" s="3" t="s">
        <v>1342</v>
      </c>
      <c r="N573" s="3" t="s">
        <v>1742</v>
      </c>
    </row>
    <row r="574" spans="1:14" x14ac:dyDescent="0.45">
      <c r="A574" s="3" t="s">
        <v>591</v>
      </c>
      <c r="B574" s="3" t="s">
        <v>592</v>
      </c>
      <c r="C574" s="3" t="s">
        <v>1218</v>
      </c>
      <c r="D574" s="3" t="s">
        <v>1219</v>
      </c>
      <c r="E574" s="3" t="s">
        <v>1220</v>
      </c>
      <c r="F574" s="79">
        <v>594</v>
      </c>
      <c r="G574" s="3" t="s">
        <v>1221</v>
      </c>
      <c r="H574" s="3" t="s">
        <v>1743</v>
      </c>
      <c r="I574" s="3"/>
      <c r="J574" s="3" t="s">
        <v>1224</v>
      </c>
      <c r="K574" s="3" t="s">
        <v>1225</v>
      </c>
      <c r="L574" s="3" t="s">
        <v>1226</v>
      </c>
      <c r="M574" s="3" t="s">
        <v>1227</v>
      </c>
      <c r="N574" s="3" t="s">
        <v>1744</v>
      </c>
    </row>
    <row r="575" spans="1:14" x14ac:dyDescent="0.45">
      <c r="A575" s="3" t="s">
        <v>591</v>
      </c>
      <c r="B575" s="3" t="s">
        <v>592</v>
      </c>
      <c r="C575" s="3" t="s">
        <v>1229</v>
      </c>
      <c r="D575" s="3" t="s">
        <v>1230</v>
      </c>
      <c r="E575" s="3" t="s">
        <v>1231</v>
      </c>
      <c r="F575" s="79">
        <v>759</v>
      </c>
      <c r="G575" s="3" t="s">
        <v>1221</v>
      </c>
      <c r="H575" s="3" t="s">
        <v>1743</v>
      </c>
      <c r="I575" s="3"/>
      <c r="J575" s="3" t="s">
        <v>1224</v>
      </c>
      <c r="K575" s="3" t="s">
        <v>1232</v>
      </c>
      <c r="L575" s="3" t="s">
        <v>1233</v>
      </c>
      <c r="M575" s="3" t="s">
        <v>1234</v>
      </c>
      <c r="N575" s="3" t="s">
        <v>1745</v>
      </c>
    </row>
    <row r="576" spans="1:14" x14ac:dyDescent="0.45">
      <c r="A576" s="3" t="s">
        <v>591</v>
      </c>
      <c r="B576" s="3" t="s">
        <v>592</v>
      </c>
      <c r="C576" s="3" t="s">
        <v>1236</v>
      </c>
      <c r="D576" s="3" t="s">
        <v>1237</v>
      </c>
      <c r="E576" s="3" t="s">
        <v>1238</v>
      </c>
      <c r="F576" s="79">
        <v>38</v>
      </c>
      <c r="G576" s="3" t="s">
        <v>1221</v>
      </c>
      <c r="H576" s="3" t="s">
        <v>1743</v>
      </c>
      <c r="I576" s="3"/>
      <c r="J576" s="3" t="s">
        <v>1224</v>
      </c>
      <c r="K576" s="3" t="s">
        <v>1239</v>
      </c>
      <c r="L576" s="3" t="s">
        <v>1240</v>
      </c>
      <c r="M576" s="3" t="s">
        <v>1241</v>
      </c>
      <c r="N576" s="3" t="s">
        <v>1746</v>
      </c>
    </row>
    <row r="577" spans="1:14" x14ac:dyDescent="0.45">
      <c r="A577" s="3" t="s">
        <v>591</v>
      </c>
      <c r="B577" s="3" t="s">
        <v>592</v>
      </c>
      <c r="C577" s="3" t="s">
        <v>1243</v>
      </c>
      <c r="D577" s="3" t="s">
        <v>1244</v>
      </c>
      <c r="E577" s="3" t="s">
        <v>1245</v>
      </c>
      <c r="F577" s="79">
        <v>63</v>
      </c>
      <c r="G577" s="3" t="s">
        <v>1221</v>
      </c>
      <c r="H577" s="3" t="s">
        <v>1743</v>
      </c>
      <c r="I577" s="3"/>
      <c r="J577" s="3" t="s">
        <v>1224</v>
      </c>
      <c r="K577" s="3" t="s">
        <v>1246</v>
      </c>
      <c r="L577" s="3" t="s">
        <v>1247</v>
      </c>
      <c r="M577" s="3" t="s">
        <v>1248</v>
      </c>
      <c r="N577" s="3" t="s">
        <v>1270</v>
      </c>
    </row>
    <row r="578" spans="1:14" x14ac:dyDescent="0.45">
      <c r="A578" s="3" t="s">
        <v>591</v>
      </c>
      <c r="B578" s="3" t="s">
        <v>592</v>
      </c>
      <c r="C578" s="3" t="s">
        <v>1250</v>
      </c>
      <c r="D578" s="3" t="s">
        <v>1251</v>
      </c>
      <c r="E578" s="3" t="s">
        <v>1252</v>
      </c>
      <c r="F578" s="79">
        <v>18</v>
      </c>
      <c r="G578" s="3" t="s">
        <v>1221</v>
      </c>
      <c r="H578" s="3" t="s">
        <v>1743</v>
      </c>
      <c r="I578" s="3"/>
      <c r="J578" s="3" t="s">
        <v>1224</v>
      </c>
      <c r="K578" s="3" t="s">
        <v>1246</v>
      </c>
      <c r="L578" s="3" t="s">
        <v>1247</v>
      </c>
      <c r="M578" s="3" t="s">
        <v>1248</v>
      </c>
      <c r="N578" s="3" t="s">
        <v>1679</v>
      </c>
    </row>
    <row r="579" spans="1:14" x14ac:dyDescent="0.45">
      <c r="A579" s="3" t="s">
        <v>591</v>
      </c>
      <c r="B579" s="3" t="s">
        <v>592</v>
      </c>
      <c r="C579" s="3" t="s">
        <v>1254</v>
      </c>
      <c r="D579" s="3" t="s">
        <v>1255</v>
      </c>
      <c r="E579" s="3" t="s">
        <v>1256</v>
      </c>
      <c r="F579" s="79">
        <v>7</v>
      </c>
      <c r="G579" s="3" t="s">
        <v>1221</v>
      </c>
      <c r="H579" s="3" t="s">
        <v>1743</v>
      </c>
      <c r="I579" s="3"/>
      <c r="J579" s="3" t="s">
        <v>1224</v>
      </c>
      <c r="K579" s="3" t="s">
        <v>1246</v>
      </c>
      <c r="L579" s="3" t="s">
        <v>1247</v>
      </c>
      <c r="M579" s="3" t="s">
        <v>1248</v>
      </c>
      <c r="N579" s="3" t="s">
        <v>1574</v>
      </c>
    </row>
    <row r="580" spans="1:14" x14ac:dyDescent="0.45">
      <c r="A580" s="3" t="s">
        <v>591</v>
      </c>
      <c r="B580" s="3" t="s">
        <v>592</v>
      </c>
      <c r="C580" s="3" t="s">
        <v>1258</v>
      </c>
      <c r="D580" s="3" t="s">
        <v>1230</v>
      </c>
      <c r="E580" s="3" t="s">
        <v>1259</v>
      </c>
      <c r="F580" s="79">
        <v>756</v>
      </c>
      <c r="G580" s="3" t="s">
        <v>1221</v>
      </c>
      <c r="H580" s="3" t="s">
        <v>1743</v>
      </c>
      <c r="I580" s="3"/>
      <c r="J580" s="3" t="s">
        <v>1260</v>
      </c>
      <c r="K580" s="3" t="s">
        <v>1261</v>
      </c>
      <c r="L580" s="3" t="s">
        <v>1262</v>
      </c>
      <c r="M580" s="3" t="s">
        <v>1263</v>
      </c>
      <c r="N580" s="3" t="s">
        <v>1747</v>
      </c>
    </row>
    <row r="581" spans="1:14" x14ac:dyDescent="0.45">
      <c r="A581" s="3" t="s">
        <v>591</v>
      </c>
      <c r="B581" s="3" t="s">
        <v>592</v>
      </c>
      <c r="C581" s="3" t="s">
        <v>1265</v>
      </c>
      <c r="D581" s="3" t="s">
        <v>1237</v>
      </c>
      <c r="E581" s="3" t="s">
        <v>1266</v>
      </c>
      <c r="F581" s="79">
        <v>29</v>
      </c>
      <c r="G581" s="3" t="s">
        <v>1221</v>
      </c>
      <c r="H581" s="3" t="s">
        <v>1743</v>
      </c>
      <c r="I581" s="3"/>
      <c r="J581" s="3" t="s">
        <v>1260</v>
      </c>
      <c r="K581" s="3" t="s">
        <v>1267</v>
      </c>
      <c r="L581" s="3" t="s">
        <v>1268</v>
      </c>
      <c r="M581" s="3" t="s">
        <v>1269</v>
      </c>
      <c r="N581" s="3" t="s">
        <v>1418</v>
      </c>
    </row>
    <row r="582" spans="1:14" x14ac:dyDescent="0.45">
      <c r="A582" s="3" t="s">
        <v>591</v>
      </c>
      <c r="B582" s="3" t="s">
        <v>592</v>
      </c>
      <c r="C582" s="3" t="s">
        <v>1678</v>
      </c>
      <c r="D582" s="3" t="s">
        <v>1237</v>
      </c>
      <c r="E582" s="3" t="s">
        <v>1273</v>
      </c>
      <c r="F582" s="79">
        <v>42</v>
      </c>
      <c r="G582" s="3" t="s">
        <v>1221</v>
      </c>
      <c r="H582" s="3" t="s">
        <v>1743</v>
      </c>
      <c r="I582" s="3"/>
      <c r="J582" s="3" t="s">
        <v>1260</v>
      </c>
      <c r="K582" s="3" t="s">
        <v>1274</v>
      </c>
      <c r="L582" s="3" t="s">
        <v>1275</v>
      </c>
      <c r="M582" s="3" t="s">
        <v>1276</v>
      </c>
      <c r="N582" s="3" t="s">
        <v>1623</v>
      </c>
    </row>
    <row r="583" spans="1:14" x14ac:dyDescent="0.45">
      <c r="A583" s="3" t="s">
        <v>591</v>
      </c>
      <c r="B583" s="3" t="s">
        <v>592</v>
      </c>
      <c r="C583" s="3" t="s">
        <v>1285</v>
      </c>
      <c r="D583" s="3" t="s">
        <v>1237</v>
      </c>
      <c r="E583" s="3" t="s">
        <v>1280</v>
      </c>
      <c r="F583" s="79">
        <v>36</v>
      </c>
      <c r="G583" s="3" t="s">
        <v>1221</v>
      </c>
      <c r="H583" s="3" t="s">
        <v>1743</v>
      </c>
      <c r="I583" s="3"/>
      <c r="J583" s="3" t="s">
        <v>1260</v>
      </c>
      <c r="K583" s="3" t="s">
        <v>1281</v>
      </c>
      <c r="L583" s="3" t="s">
        <v>1282</v>
      </c>
      <c r="M583" s="3" t="s">
        <v>1283</v>
      </c>
      <c r="N583" s="3" t="s">
        <v>1420</v>
      </c>
    </row>
    <row r="584" spans="1:14" x14ac:dyDescent="0.45">
      <c r="A584" s="3" t="s">
        <v>591</v>
      </c>
      <c r="B584" s="3" t="s">
        <v>592</v>
      </c>
      <c r="C584" s="3" t="s">
        <v>1287</v>
      </c>
      <c r="D584" s="3" t="s">
        <v>1244</v>
      </c>
      <c r="E584" s="3" t="s">
        <v>1288</v>
      </c>
      <c r="F584" s="79">
        <v>48</v>
      </c>
      <c r="G584" s="3" t="s">
        <v>1221</v>
      </c>
      <c r="H584" s="3" t="s">
        <v>1743</v>
      </c>
      <c r="I584" s="3"/>
      <c r="J584" s="3" t="s">
        <v>1260</v>
      </c>
      <c r="K584" s="3" t="s">
        <v>1289</v>
      </c>
      <c r="L584" s="3" t="s">
        <v>1290</v>
      </c>
      <c r="M584" s="3" t="s">
        <v>1291</v>
      </c>
      <c r="N584" s="3" t="s">
        <v>1685</v>
      </c>
    </row>
    <row r="585" spans="1:14" x14ac:dyDescent="0.45">
      <c r="A585" s="3" t="s">
        <v>591</v>
      </c>
      <c r="B585" s="3" t="s">
        <v>592</v>
      </c>
      <c r="C585" s="3" t="s">
        <v>1680</v>
      </c>
      <c r="D585" s="3" t="s">
        <v>1244</v>
      </c>
      <c r="E585" s="3" t="s">
        <v>1295</v>
      </c>
      <c r="F585" s="79">
        <v>46</v>
      </c>
      <c r="G585" s="3" t="s">
        <v>1221</v>
      </c>
      <c r="H585" s="3" t="s">
        <v>1743</v>
      </c>
      <c r="I585" s="3"/>
      <c r="J585" s="3" t="s">
        <v>1260</v>
      </c>
      <c r="K585" s="3" t="s">
        <v>1296</v>
      </c>
      <c r="L585" s="3" t="s">
        <v>1297</v>
      </c>
      <c r="M585" s="3" t="s">
        <v>1298</v>
      </c>
      <c r="N585" s="3" t="s">
        <v>1572</v>
      </c>
    </row>
    <row r="586" spans="1:14" x14ac:dyDescent="0.45">
      <c r="A586" s="3" t="s">
        <v>591</v>
      </c>
      <c r="B586" s="3" t="s">
        <v>592</v>
      </c>
      <c r="C586" s="3" t="s">
        <v>1307</v>
      </c>
      <c r="D586" s="3" t="s">
        <v>1244</v>
      </c>
      <c r="E586" s="3" t="s">
        <v>1302</v>
      </c>
      <c r="F586" s="79">
        <v>58</v>
      </c>
      <c r="G586" s="3" t="s">
        <v>1221</v>
      </c>
      <c r="H586" s="3" t="s">
        <v>1743</v>
      </c>
      <c r="I586" s="3"/>
      <c r="J586" s="3" t="s">
        <v>1260</v>
      </c>
      <c r="K586" s="3" t="s">
        <v>1303</v>
      </c>
      <c r="L586" s="3" t="s">
        <v>1304</v>
      </c>
      <c r="M586" s="3" t="s">
        <v>1305</v>
      </c>
      <c r="N586" s="3" t="s">
        <v>1647</v>
      </c>
    </row>
    <row r="587" spans="1:14" x14ac:dyDescent="0.45">
      <c r="A587" s="3" t="s">
        <v>591</v>
      </c>
      <c r="B587" s="3" t="s">
        <v>592</v>
      </c>
      <c r="C587" s="3" t="s">
        <v>1309</v>
      </c>
      <c r="D587" s="3" t="s">
        <v>1251</v>
      </c>
      <c r="E587" s="3" t="s">
        <v>1310</v>
      </c>
      <c r="F587" s="79">
        <v>73</v>
      </c>
      <c r="G587" s="3" t="s">
        <v>1221</v>
      </c>
      <c r="H587" s="3" t="s">
        <v>1743</v>
      </c>
      <c r="I587" s="3"/>
      <c r="J587" s="3" t="s">
        <v>1260</v>
      </c>
      <c r="K587" s="3" t="s">
        <v>1311</v>
      </c>
      <c r="L587" s="3" t="s">
        <v>1312</v>
      </c>
      <c r="M587" s="3" t="s">
        <v>1313</v>
      </c>
      <c r="N587" s="3" t="s">
        <v>1748</v>
      </c>
    </row>
    <row r="588" spans="1:14" x14ac:dyDescent="0.45">
      <c r="A588" s="3" t="s">
        <v>591</v>
      </c>
      <c r="B588" s="3" t="s">
        <v>592</v>
      </c>
      <c r="C588" s="3" t="s">
        <v>1681</v>
      </c>
      <c r="D588" s="3" t="s">
        <v>1251</v>
      </c>
      <c r="E588" s="3" t="s">
        <v>1317</v>
      </c>
      <c r="F588" s="79">
        <v>47</v>
      </c>
      <c r="G588" s="3" t="s">
        <v>1221</v>
      </c>
      <c r="H588" s="3" t="s">
        <v>1743</v>
      </c>
      <c r="I588" s="3"/>
      <c r="J588" s="3" t="s">
        <v>1260</v>
      </c>
      <c r="K588" s="3" t="s">
        <v>1318</v>
      </c>
      <c r="L588" s="3" t="s">
        <v>1319</v>
      </c>
      <c r="M588" s="3" t="s">
        <v>1320</v>
      </c>
      <c r="N588" s="3" t="s">
        <v>1749</v>
      </c>
    </row>
    <row r="589" spans="1:14" x14ac:dyDescent="0.45">
      <c r="A589" s="3" t="s">
        <v>591</v>
      </c>
      <c r="B589" s="3" t="s">
        <v>592</v>
      </c>
      <c r="C589" s="3" t="s">
        <v>1329</v>
      </c>
      <c r="D589" s="3" t="s">
        <v>1251</v>
      </c>
      <c r="E589" s="3" t="s">
        <v>1324</v>
      </c>
      <c r="F589" s="79">
        <v>7</v>
      </c>
      <c r="G589" s="3" t="s">
        <v>1221</v>
      </c>
      <c r="H589" s="3" t="s">
        <v>1743</v>
      </c>
      <c r="I589" s="3"/>
      <c r="J589" s="3" t="s">
        <v>1260</v>
      </c>
      <c r="K589" s="3" t="s">
        <v>1325</v>
      </c>
      <c r="L589" s="3" t="s">
        <v>1326</v>
      </c>
      <c r="M589" s="3" t="s">
        <v>1327</v>
      </c>
      <c r="N589" s="3" t="s">
        <v>1574</v>
      </c>
    </row>
    <row r="590" spans="1:14" x14ac:dyDescent="0.45">
      <c r="A590" s="3" t="s">
        <v>591</v>
      </c>
      <c r="B590" s="3" t="s">
        <v>592</v>
      </c>
      <c r="C590" s="3" t="s">
        <v>1331</v>
      </c>
      <c r="D590" s="3" t="s">
        <v>1255</v>
      </c>
      <c r="E590" s="3" t="s">
        <v>1332</v>
      </c>
      <c r="F590" s="79">
        <v>73</v>
      </c>
      <c r="G590" s="3" t="s">
        <v>1221</v>
      </c>
      <c r="H590" s="3" t="s">
        <v>1743</v>
      </c>
      <c r="I590" s="3"/>
      <c r="J590" s="3" t="s">
        <v>1260</v>
      </c>
      <c r="K590" s="3" t="s">
        <v>1333</v>
      </c>
      <c r="L590" s="3" t="s">
        <v>1334</v>
      </c>
      <c r="M590" s="3" t="s">
        <v>1335</v>
      </c>
      <c r="N590" s="3" t="s">
        <v>1748</v>
      </c>
    </row>
    <row r="591" spans="1:14" x14ac:dyDescent="0.45">
      <c r="A591" s="3" t="s">
        <v>591</v>
      </c>
      <c r="B591" s="3" t="s">
        <v>592</v>
      </c>
      <c r="C591" s="3" t="s">
        <v>1684</v>
      </c>
      <c r="D591" s="3" t="s">
        <v>1255</v>
      </c>
      <c r="E591" s="3" t="s">
        <v>1339</v>
      </c>
      <c r="F591" s="79">
        <v>51</v>
      </c>
      <c r="G591" s="3" t="s">
        <v>1221</v>
      </c>
      <c r="H591" s="3" t="s">
        <v>1743</v>
      </c>
      <c r="I591" s="3"/>
      <c r="J591" s="3" t="s">
        <v>1260</v>
      </c>
      <c r="K591" s="3" t="s">
        <v>1340</v>
      </c>
      <c r="L591" s="3" t="s">
        <v>1341</v>
      </c>
      <c r="M591" s="3" t="s">
        <v>1342</v>
      </c>
      <c r="N591" s="3" t="s">
        <v>1624</v>
      </c>
    </row>
    <row r="592" spans="1:14" x14ac:dyDescent="0.45">
      <c r="A592" s="3" t="s">
        <v>591</v>
      </c>
      <c r="B592" s="3" t="s">
        <v>592</v>
      </c>
      <c r="C592" s="3" t="s">
        <v>1348</v>
      </c>
      <c r="D592" s="3" t="s">
        <v>1255</v>
      </c>
      <c r="E592" s="3" t="s">
        <v>1346</v>
      </c>
      <c r="F592" s="79">
        <v>70</v>
      </c>
      <c r="G592" s="3" t="s">
        <v>1221</v>
      </c>
      <c r="H592" s="3" t="s">
        <v>1743</v>
      </c>
      <c r="I592" s="3"/>
      <c r="J592" s="3" t="s">
        <v>1260</v>
      </c>
      <c r="K592" s="3" t="s">
        <v>1325</v>
      </c>
      <c r="L592" s="3" t="s">
        <v>1326</v>
      </c>
      <c r="M592" s="3" t="s">
        <v>1327</v>
      </c>
      <c r="N592" s="3" t="s">
        <v>1750</v>
      </c>
    </row>
    <row r="593" spans="1:14" x14ac:dyDescent="0.45">
      <c r="A593" s="3" t="s">
        <v>591</v>
      </c>
      <c r="B593" s="3" t="s">
        <v>592</v>
      </c>
      <c r="C593" s="3" t="s">
        <v>1350</v>
      </c>
      <c r="D593" s="3" t="s">
        <v>1351</v>
      </c>
      <c r="E593" s="3" t="s">
        <v>1352</v>
      </c>
      <c r="F593" s="79">
        <v>-227</v>
      </c>
      <c r="G593" s="3" t="s">
        <v>1221</v>
      </c>
      <c r="H593" s="3" t="s">
        <v>1743</v>
      </c>
      <c r="I593" s="3"/>
      <c r="J593" s="3" t="s">
        <v>1260</v>
      </c>
      <c r="K593" s="3" t="s">
        <v>1333</v>
      </c>
      <c r="L593" s="3" t="s">
        <v>1334</v>
      </c>
      <c r="M593" s="3" t="s">
        <v>1335</v>
      </c>
      <c r="N593" s="3" t="s">
        <v>1751</v>
      </c>
    </row>
    <row r="594" spans="1:14" x14ac:dyDescent="0.45">
      <c r="A594" s="3" t="s">
        <v>591</v>
      </c>
      <c r="B594" s="3" t="s">
        <v>592</v>
      </c>
      <c r="C594" s="3" t="s">
        <v>1686</v>
      </c>
      <c r="D594" s="3" t="s">
        <v>1351</v>
      </c>
      <c r="E594" s="3" t="s">
        <v>1356</v>
      </c>
      <c r="F594" s="79">
        <v>-412</v>
      </c>
      <c r="G594" s="3" t="s">
        <v>1221</v>
      </c>
      <c r="H594" s="3" t="s">
        <v>1743</v>
      </c>
      <c r="I594" s="3"/>
      <c r="J594" s="3" t="s">
        <v>1260</v>
      </c>
      <c r="K594" s="3" t="s">
        <v>1340</v>
      </c>
      <c r="L594" s="3" t="s">
        <v>1341</v>
      </c>
      <c r="M594" s="3" t="s">
        <v>1342</v>
      </c>
      <c r="N594" s="3" t="s">
        <v>1752</v>
      </c>
    </row>
    <row r="595" spans="1:14" x14ac:dyDescent="0.45">
      <c r="A595" s="3" t="s">
        <v>593</v>
      </c>
      <c r="B595" s="3" t="s">
        <v>1157</v>
      </c>
      <c r="C595" s="3" t="s">
        <v>1218</v>
      </c>
      <c r="D595" s="3" t="s">
        <v>1219</v>
      </c>
      <c r="E595" s="3" t="s">
        <v>1220</v>
      </c>
      <c r="F595" s="79">
        <v>2</v>
      </c>
      <c r="G595" s="3" t="s">
        <v>1221</v>
      </c>
      <c r="H595" s="3" t="s">
        <v>1753</v>
      </c>
      <c r="I595" s="3"/>
      <c r="J595" s="3" t="s">
        <v>1224</v>
      </c>
      <c r="K595" s="3" t="s">
        <v>1225</v>
      </c>
      <c r="L595" s="3" t="s">
        <v>1226</v>
      </c>
      <c r="M595" s="3" t="s">
        <v>1227</v>
      </c>
      <c r="N595" s="3" t="s">
        <v>1654</v>
      </c>
    </row>
    <row r="596" spans="1:14" x14ac:dyDescent="0.45">
      <c r="A596" s="3" t="s">
        <v>593</v>
      </c>
      <c r="B596" s="3" t="s">
        <v>1157</v>
      </c>
      <c r="C596" s="3" t="s">
        <v>1229</v>
      </c>
      <c r="D596" s="3" t="s">
        <v>1230</v>
      </c>
      <c r="E596" s="3" t="s">
        <v>1231</v>
      </c>
      <c r="F596" s="79">
        <v>-1</v>
      </c>
      <c r="G596" s="3" t="s">
        <v>1221</v>
      </c>
      <c r="H596" s="3" t="s">
        <v>1753</v>
      </c>
      <c r="I596" s="3"/>
      <c r="J596" s="3" t="s">
        <v>1224</v>
      </c>
      <c r="K596" s="3" t="s">
        <v>1232</v>
      </c>
      <c r="L596" s="3" t="s">
        <v>1233</v>
      </c>
      <c r="M596" s="3" t="s">
        <v>1234</v>
      </c>
      <c r="N596" s="3" t="s">
        <v>1656</v>
      </c>
    </row>
    <row r="597" spans="1:14" x14ac:dyDescent="0.45">
      <c r="A597" s="3" t="s">
        <v>593</v>
      </c>
      <c r="B597" s="3" t="s">
        <v>1157</v>
      </c>
      <c r="C597" s="3" t="s">
        <v>1236</v>
      </c>
      <c r="D597" s="3" t="s">
        <v>1237</v>
      </c>
      <c r="E597" s="3" t="s">
        <v>1238</v>
      </c>
      <c r="F597" s="79">
        <v>0</v>
      </c>
      <c r="G597" s="3" t="s">
        <v>1221</v>
      </c>
      <c r="H597" s="3" t="s">
        <v>1753</v>
      </c>
      <c r="I597" s="3"/>
      <c r="J597" s="3" t="s">
        <v>1224</v>
      </c>
      <c r="K597" s="3" t="s">
        <v>1239</v>
      </c>
      <c r="L597" s="3" t="s">
        <v>1240</v>
      </c>
      <c r="M597" s="3" t="s">
        <v>1241</v>
      </c>
      <c r="N597" s="3" t="s">
        <v>1571</v>
      </c>
    </row>
    <row r="598" spans="1:14" x14ac:dyDescent="0.45">
      <c r="A598" s="3" t="s">
        <v>593</v>
      </c>
      <c r="B598" s="3" t="s">
        <v>1157</v>
      </c>
      <c r="C598" s="3" t="s">
        <v>1243</v>
      </c>
      <c r="D598" s="3" t="s">
        <v>1244</v>
      </c>
      <c r="E598" s="3" t="s">
        <v>1245</v>
      </c>
      <c r="F598" s="79">
        <v>0</v>
      </c>
      <c r="G598" s="3" t="s">
        <v>1221</v>
      </c>
      <c r="H598" s="3" t="s">
        <v>1753</v>
      </c>
      <c r="I598" s="3"/>
      <c r="J598" s="3" t="s">
        <v>1224</v>
      </c>
      <c r="K598" s="3" t="s">
        <v>1246</v>
      </c>
      <c r="L598" s="3" t="s">
        <v>1247</v>
      </c>
      <c r="M598" s="3" t="s">
        <v>1248</v>
      </c>
      <c r="N598" s="3" t="s">
        <v>1571</v>
      </c>
    </row>
    <row r="599" spans="1:14" x14ac:dyDescent="0.45">
      <c r="A599" s="3" t="s">
        <v>593</v>
      </c>
      <c r="B599" s="3" t="s">
        <v>1157</v>
      </c>
      <c r="C599" s="3" t="s">
        <v>1250</v>
      </c>
      <c r="D599" s="3" t="s">
        <v>1251</v>
      </c>
      <c r="E599" s="3" t="s">
        <v>1252</v>
      </c>
      <c r="F599" s="79">
        <v>-1</v>
      </c>
      <c r="G599" s="3" t="s">
        <v>1221</v>
      </c>
      <c r="H599" s="3" t="s">
        <v>1753</v>
      </c>
      <c r="I599" s="3"/>
      <c r="J599" s="3" t="s">
        <v>1224</v>
      </c>
      <c r="K599" s="3" t="s">
        <v>1246</v>
      </c>
      <c r="L599" s="3" t="s">
        <v>1247</v>
      </c>
      <c r="M599" s="3" t="s">
        <v>1248</v>
      </c>
      <c r="N599" s="3" t="s">
        <v>1656</v>
      </c>
    </row>
    <row r="600" spans="1:14" x14ac:dyDescent="0.45">
      <c r="A600" s="3" t="s">
        <v>593</v>
      </c>
      <c r="B600" s="3" t="s">
        <v>1157</v>
      </c>
      <c r="C600" s="3" t="s">
        <v>1254</v>
      </c>
      <c r="D600" s="3" t="s">
        <v>1255</v>
      </c>
      <c r="E600" s="3" t="s">
        <v>1256</v>
      </c>
      <c r="F600" s="79">
        <v>2</v>
      </c>
      <c r="G600" s="3" t="s">
        <v>1221</v>
      </c>
      <c r="H600" s="3" t="s">
        <v>1753</v>
      </c>
      <c r="I600" s="3"/>
      <c r="J600" s="3" t="s">
        <v>1224</v>
      </c>
      <c r="K600" s="3" t="s">
        <v>1246</v>
      </c>
      <c r="L600" s="3" t="s">
        <v>1247</v>
      </c>
      <c r="M600" s="3" t="s">
        <v>1248</v>
      </c>
      <c r="N600" s="3" t="s">
        <v>1654</v>
      </c>
    </row>
    <row r="601" spans="1:14" x14ac:dyDescent="0.45">
      <c r="A601" s="3" t="s">
        <v>593</v>
      </c>
      <c r="B601" s="3" t="s">
        <v>1157</v>
      </c>
      <c r="C601" s="3" t="s">
        <v>1258</v>
      </c>
      <c r="D601" s="3" t="s">
        <v>1230</v>
      </c>
      <c r="E601" s="3" t="s">
        <v>1259</v>
      </c>
      <c r="F601" s="79">
        <v>0</v>
      </c>
      <c r="G601" s="3" t="s">
        <v>1221</v>
      </c>
      <c r="H601" s="3" t="s">
        <v>1753</v>
      </c>
      <c r="I601" s="3"/>
      <c r="J601" s="3" t="s">
        <v>1260</v>
      </c>
      <c r="K601" s="3" t="s">
        <v>1261</v>
      </c>
      <c r="L601" s="3" t="s">
        <v>1262</v>
      </c>
      <c r="M601" s="3" t="s">
        <v>1263</v>
      </c>
      <c r="N601" s="3" t="s">
        <v>1571</v>
      </c>
    </row>
    <row r="602" spans="1:14" x14ac:dyDescent="0.45">
      <c r="A602" s="3" t="s">
        <v>593</v>
      </c>
      <c r="B602" s="3" t="s">
        <v>1157</v>
      </c>
      <c r="C602" s="3" t="s">
        <v>1265</v>
      </c>
      <c r="D602" s="3" t="s">
        <v>1237</v>
      </c>
      <c r="E602" s="3" t="s">
        <v>1266</v>
      </c>
      <c r="F602" s="79">
        <v>0</v>
      </c>
      <c r="G602" s="3" t="s">
        <v>1221</v>
      </c>
      <c r="H602" s="3" t="s">
        <v>1753</v>
      </c>
      <c r="I602" s="3"/>
      <c r="J602" s="3" t="s">
        <v>1260</v>
      </c>
      <c r="K602" s="3" t="s">
        <v>1267</v>
      </c>
      <c r="L602" s="3" t="s">
        <v>1268</v>
      </c>
      <c r="M602" s="3" t="s">
        <v>1269</v>
      </c>
      <c r="N602" s="3" t="s">
        <v>1571</v>
      </c>
    </row>
    <row r="603" spans="1:14" x14ac:dyDescent="0.45">
      <c r="A603" s="3" t="s">
        <v>593</v>
      </c>
      <c r="B603" s="3" t="s">
        <v>1157</v>
      </c>
      <c r="C603" s="3" t="s">
        <v>1285</v>
      </c>
      <c r="D603" s="3" t="s">
        <v>1237</v>
      </c>
      <c r="E603" s="3" t="s">
        <v>1280</v>
      </c>
      <c r="F603" s="79">
        <v>-1</v>
      </c>
      <c r="G603" s="3" t="s">
        <v>1221</v>
      </c>
      <c r="H603" s="3" t="s">
        <v>1753</v>
      </c>
      <c r="I603" s="3"/>
      <c r="J603" s="3" t="s">
        <v>1260</v>
      </c>
      <c r="K603" s="3" t="s">
        <v>1281</v>
      </c>
      <c r="L603" s="3" t="s">
        <v>1282</v>
      </c>
      <c r="M603" s="3" t="s">
        <v>1283</v>
      </c>
      <c r="N603" s="3" t="s">
        <v>1656</v>
      </c>
    </row>
    <row r="604" spans="1:14" x14ac:dyDescent="0.45">
      <c r="A604" s="3" t="s">
        <v>593</v>
      </c>
      <c r="B604" s="3" t="s">
        <v>1157</v>
      </c>
      <c r="C604" s="3" t="s">
        <v>1287</v>
      </c>
      <c r="D604" s="3" t="s">
        <v>1244</v>
      </c>
      <c r="E604" s="3" t="s">
        <v>1288</v>
      </c>
      <c r="F604" s="79">
        <v>0</v>
      </c>
      <c r="G604" s="3" t="s">
        <v>1221</v>
      </c>
      <c r="H604" s="3" t="s">
        <v>1753</v>
      </c>
      <c r="I604" s="3"/>
      <c r="J604" s="3" t="s">
        <v>1260</v>
      </c>
      <c r="K604" s="3" t="s">
        <v>1289</v>
      </c>
      <c r="L604" s="3" t="s">
        <v>1290</v>
      </c>
      <c r="M604" s="3" t="s">
        <v>1291</v>
      </c>
      <c r="N604" s="3" t="s">
        <v>1571</v>
      </c>
    </row>
    <row r="605" spans="1:14" x14ac:dyDescent="0.45">
      <c r="A605" s="3" t="s">
        <v>593</v>
      </c>
      <c r="B605" s="3" t="s">
        <v>1157</v>
      </c>
      <c r="C605" s="3" t="s">
        <v>1680</v>
      </c>
      <c r="D605" s="3" t="s">
        <v>1244</v>
      </c>
      <c r="E605" s="3" t="s">
        <v>1295</v>
      </c>
      <c r="F605" s="79">
        <v>0</v>
      </c>
      <c r="G605" s="3" t="s">
        <v>1221</v>
      </c>
      <c r="H605" s="3" t="s">
        <v>1753</v>
      </c>
      <c r="I605" s="3"/>
      <c r="J605" s="3" t="s">
        <v>1260</v>
      </c>
      <c r="K605" s="3" t="s">
        <v>1296</v>
      </c>
      <c r="L605" s="3" t="s">
        <v>1297</v>
      </c>
      <c r="M605" s="3" t="s">
        <v>1298</v>
      </c>
      <c r="N605" s="3" t="s">
        <v>1571</v>
      </c>
    </row>
    <row r="606" spans="1:14" x14ac:dyDescent="0.45">
      <c r="A606" s="3" t="s">
        <v>593</v>
      </c>
      <c r="B606" s="3" t="s">
        <v>1157</v>
      </c>
      <c r="C606" s="3" t="s">
        <v>1307</v>
      </c>
      <c r="D606" s="3" t="s">
        <v>1244</v>
      </c>
      <c r="E606" s="3" t="s">
        <v>1302</v>
      </c>
      <c r="F606" s="79">
        <v>-1</v>
      </c>
      <c r="G606" s="3" t="s">
        <v>1221</v>
      </c>
      <c r="H606" s="3" t="s">
        <v>1753</v>
      </c>
      <c r="I606" s="3"/>
      <c r="J606" s="3" t="s">
        <v>1260</v>
      </c>
      <c r="K606" s="3" t="s">
        <v>1303</v>
      </c>
      <c r="L606" s="3" t="s">
        <v>1304</v>
      </c>
      <c r="M606" s="3" t="s">
        <v>1305</v>
      </c>
      <c r="N606" s="3" t="s">
        <v>1656</v>
      </c>
    </row>
    <row r="607" spans="1:14" x14ac:dyDescent="0.45">
      <c r="A607" s="3" t="s">
        <v>593</v>
      </c>
      <c r="B607" s="3" t="s">
        <v>1157</v>
      </c>
      <c r="C607" s="3" t="s">
        <v>1309</v>
      </c>
      <c r="D607" s="3" t="s">
        <v>1251</v>
      </c>
      <c r="E607" s="3" t="s">
        <v>1310</v>
      </c>
      <c r="F607" s="79">
        <v>0</v>
      </c>
      <c r="G607" s="3" t="s">
        <v>1221</v>
      </c>
      <c r="H607" s="3" t="s">
        <v>1753</v>
      </c>
      <c r="I607" s="3"/>
      <c r="J607" s="3" t="s">
        <v>1260</v>
      </c>
      <c r="K607" s="3" t="s">
        <v>1289</v>
      </c>
      <c r="L607" s="3" t="s">
        <v>1290</v>
      </c>
      <c r="M607" s="3" t="s">
        <v>1291</v>
      </c>
      <c r="N607" s="3" t="s">
        <v>1571</v>
      </c>
    </row>
    <row r="608" spans="1:14" x14ac:dyDescent="0.45">
      <c r="A608" s="3" t="s">
        <v>593</v>
      </c>
      <c r="B608" s="3" t="s">
        <v>1157</v>
      </c>
      <c r="C608" s="3" t="s">
        <v>1681</v>
      </c>
      <c r="D608" s="3" t="s">
        <v>1251</v>
      </c>
      <c r="E608" s="3" t="s">
        <v>1317</v>
      </c>
      <c r="F608" s="79">
        <v>-1</v>
      </c>
      <c r="G608" s="3" t="s">
        <v>1221</v>
      </c>
      <c r="H608" s="3" t="s">
        <v>1754</v>
      </c>
      <c r="I608" s="3"/>
      <c r="J608" s="3" t="s">
        <v>1260</v>
      </c>
      <c r="K608" s="3" t="s">
        <v>1318</v>
      </c>
      <c r="L608" s="3" t="s">
        <v>1319</v>
      </c>
      <c r="M608" s="3" t="s">
        <v>1320</v>
      </c>
      <c r="N608" s="3" t="s">
        <v>1656</v>
      </c>
    </row>
    <row r="609" spans="1:14" x14ac:dyDescent="0.45">
      <c r="A609" s="3" t="s">
        <v>593</v>
      </c>
      <c r="B609" s="3" t="s">
        <v>1157</v>
      </c>
      <c r="C609" s="3" t="s">
        <v>1329</v>
      </c>
      <c r="D609" s="3" t="s">
        <v>1251</v>
      </c>
      <c r="E609" s="3" t="s">
        <v>1324</v>
      </c>
      <c r="F609" s="79">
        <v>1</v>
      </c>
      <c r="G609" s="3" t="s">
        <v>1221</v>
      </c>
      <c r="H609" s="3" t="s">
        <v>1754</v>
      </c>
      <c r="I609" s="3"/>
      <c r="J609" s="3" t="s">
        <v>1260</v>
      </c>
      <c r="K609" s="3" t="s">
        <v>1325</v>
      </c>
      <c r="L609" s="3" t="s">
        <v>1326</v>
      </c>
      <c r="M609" s="3" t="s">
        <v>1327</v>
      </c>
      <c r="N609" s="3" t="s">
        <v>1462</v>
      </c>
    </row>
    <row r="610" spans="1:14" x14ac:dyDescent="0.45">
      <c r="A610" s="3" t="s">
        <v>593</v>
      </c>
      <c r="B610" s="3" t="s">
        <v>1157</v>
      </c>
      <c r="C610" s="3" t="s">
        <v>1684</v>
      </c>
      <c r="D610" s="3" t="s">
        <v>1255</v>
      </c>
      <c r="E610" s="3" t="s">
        <v>1339</v>
      </c>
      <c r="F610" s="79">
        <v>3</v>
      </c>
      <c r="G610" s="3" t="s">
        <v>1221</v>
      </c>
      <c r="H610" s="3" t="s">
        <v>1754</v>
      </c>
      <c r="I610" s="3"/>
      <c r="J610" s="3" t="s">
        <v>1260</v>
      </c>
      <c r="K610" s="3" t="s">
        <v>1340</v>
      </c>
      <c r="L610" s="3" t="s">
        <v>1341</v>
      </c>
      <c r="M610" s="3" t="s">
        <v>1342</v>
      </c>
      <c r="N610" s="3" t="s">
        <v>1461</v>
      </c>
    </row>
    <row r="611" spans="1:14" x14ac:dyDescent="0.45">
      <c r="A611" s="3" t="s">
        <v>593</v>
      </c>
      <c r="B611" s="3" t="s">
        <v>1157</v>
      </c>
      <c r="C611" s="3" t="s">
        <v>1348</v>
      </c>
      <c r="D611" s="3" t="s">
        <v>1255</v>
      </c>
      <c r="E611" s="3" t="s">
        <v>1346</v>
      </c>
      <c r="F611" s="79">
        <v>3</v>
      </c>
      <c r="G611" s="3" t="s">
        <v>1221</v>
      </c>
      <c r="H611" s="3" t="s">
        <v>1754</v>
      </c>
      <c r="I611" s="3"/>
      <c r="J611" s="3" t="s">
        <v>1260</v>
      </c>
      <c r="K611" s="3" t="s">
        <v>1325</v>
      </c>
      <c r="L611" s="3" t="s">
        <v>1326</v>
      </c>
      <c r="M611" s="3" t="s">
        <v>1327</v>
      </c>
      <c r="N611" s="3" t="s">
        <v>1461</v>
      </c>
    </row>
    <row r="612" spans="1:14" x14ac:dyDescent="0.45">
      <c r="A612" s="3" t="s">
        <v>593</v>
      </c>
      <c r="B612" s="3" t="s">
        <v>1157</v>
      </c>
      <c r="C612" s="3" t="s">
        <v>1686</v>
      </c>
      <c r="D612" s="3" t="s">
        <v>1351</v>
      </c>
      <c r="E612" s="3" t="s">
        <v>1356</v>
      </c>
      <c r="F612" s="79">
        <v>-1</v>
      </c>
      <c r="G612" s="3" t="s">
        <v>1221</v>
      </c>
      <c r="H612" s="3" t="s">
        <v>1754</v>
      </c>
      <c r="I612" s="3"/>
      <c r="J612" s="3" t="s">
        <v>1260</v>
      </c>
      <c r="K612" s="3" t="s">
        <v>1340</v>
      </c>
      <c r="L612" s="3" t="s">
        <v>1341</v>
      </c>
      <c r="M612" s="3" t="s">
        <v>1342</v>
      </c>
      <c r="N612" s="3" t="s">
        <v>1656</v>
      </c>
    </row>
    <row r="613" spans="1:14" x14ac:dyDescent="0.45">
      <c r="A613" s="3" t="s">
        <v>1159</v>
      </c>
      <c r="B613" s="3" t="s">
        <v>1160</v>
      </c>
      <c r="C613" s="3" t="s">
        <v>1755</v>
      </c>
      <c r="D613" s="3"/>
      <c r="E613" s="3" t="s">
        <v>1220</v>
      </c>
      <c r="F613" s="79">
        <v>594</v>
      </c>
      <c r="G613" s="3" t="s">
        <v>1221</v>
      </c>
      <c r="H613" s="3" t="s">
        <v>1756</v>
      </c>
      <c r="I613" s="3"/>
      <c r="J613" s="3" t="s">
        <v>1224</v>
      </c>
      <c r="K613" s="3" t="s">
        <v>1232</v>
      </c>
      <c r="L613" s="3" t="s">
        <v>1233</v>
      </c>
      <c r="M613" s="3" t="s">
        <v>1234</v>
      </c>
      <c r="N613" s="3" t="s">
        <v>1744</v>
      </c>
    </row>
    <row r="614" spans="1:14" x14ac:dyDescent="0.45">
      <c r="A614" s="3" t="s">
        <v>1159</v>
      </c>
      <c r="B614" s="3" t="s">
        <v>1160</v>
      </c>
      <c r="C614" s="3" t="s">
        <v>1757</v>
      </c>
      <c r="D614" s="3"/>
      <c r="E614" s="3" t="s">
        <v>1231</v>
      </c>
      <c r="F614" s="79">
        <v>851</v>
      </c>
      <c r="G614" s="3" t="s">
        <v>1221</v>
      </c>
      <c r="H614" s="3" t="s">
        <v>1756</v>
      </c>
      <c r="I614" s="3"/>
      <c r="J614" s="3" t="s">
        <v>1224</v>
      </c>
      <c r="K614" s="3" t="s">
        <v>1239</v>
      </c>
      <c r="L614" s="3" t="s">
        <v>1240</v>
      </c>
      <c r="M614" s="3" t="s">
        <v>1241</v>
      </c>
      <c r="N614" s="3" t="s">
        <v>1758</v>
      </c>
    </row>
    <row r="615" spans="1:14" x14ac:dyDescent="0.45">
      <c r="A615" s="3" t="s">
        <v>1159</v>
      </c>
      <c r="B615" s="3" t="s">
        <v>1160</v>
      </c>
      <c r="C615" s="3" t="s">
        <v>1759</v>
      </c>
      <c r="D615" s="3"/>
      <c r="E615" s="3" t="s">
        <v>1266</v>
      </c>
      <c r="F615" s="79">
        <v>830</v>
      </c>
      <c r="G615" s="3" t="s">
        <v>1221</v>
      </c>
      <c r="H615" s="3" t="s">
        <v>1756</v>
      </c>
      <c r="I615" s="3"/>
      <c r="J615" s="3" t="s">
        <v>1260</v>
      </c>
      <c r="K615" s="3" t="s">
        <v>1267</v>
      </c>
      <c r="L615" s="3" t="s">
        <v>1268</v>
      </c>
      <c r="M615" s="3" t="s">
        <v>1269</v>
      </c>
      <c r="N615" s="3" t="s">
        <v>1760</v>
      </c>
    </row>
    <row r="616" spans="1:14" x14ac:dyDescent="0.45">
      <c r="A616" s="3" t="s">
        <v>1159</v>
      </c>
      <c r="B616" s="3" t="s">
        <v>1160</v>
      </c>
      <c r="C616" s="3" t="s">
        <v>1761</v>
      </c>
      <c r="D616" s="3"/>
      <c r="E616" s="3" t="s">
        <v>1273</v>
      </c>
      <c r="F616" s="79">
        <v>783</v>
      </c>
      <c r="G616" s="3" t="s">
        <v>1221</v>
      </c>
      <c r="H616" s="3" t="s">
        <v>1756</v>
      </c>
      <c r="I616" s="3"/>
      <c r="J616" s="3" t="s">
        <v>1260</v>
      </c>
      <c r="K616" s="3" t="s">
        <v>1274</v>
      </c>
      <c r="L616" s="3" t="s">
        <v>1275</v>
      </c>
      <c r="M616" s="3" t="s">
        <v>1276</v>
      </c>
      <c r="N616" s="3" t="s">
        <v>1762</v>
      </c>
    </row>
    <row r="617" spans="1:14" x14ac:dyDescent="0.45">
      <c r="A617" s="3" t="s">
        <v>1159</v>
      </c>
      <c r="B617" s="3" t="s">
        <v>1160</v>
      </c>
      <c r="C617" s="3" t="s">
        <v>1763</v>
      </c>
      <c r="D617" s="3"/>
      <c r="E617" s="3" t="s">
        <v>1280</v>
      </c>
      <c r="F617" s="79">
        <v>724</v>
      </c>
      <c r="G617" s="3" t="s">
        <v>1221</v>
      </c>
      <c r="H617" s="3" t="s">
        <v>1756</v>
      </c>
      <c r="I617" s="3"/>
      <c r="J617" s="3" t="s">
        <v>1260</v>
      </c>
      <c r="K617" s="3" t="s">
        <v>1281</v>
      </c>
      <c r="L617" s="3" t="s">
        <v>1282</v>
      </c>
      <c r="M617" s="3" t="s">
        <v>1283</v>
      </c>
      <c r="N617" s="3" t="s">
        <v>1764</v>
      </c>
    </row>
    <row r="618" spans="1:14" x14ac:dyDescent="0.45">
      <c r="A618" s="3" t="s">
        <v>1159</v>
      </c>
      <c r="B618" s="3" t="s">
        <v>1160</v>
      </c>
      <c r="C618" s="3" t="s">
        <v>1765</v>
      </c>
      <c r="D618" s="3"/>
      <c r="E618" s="3" t="s">
        <v>1238</v>
      </c>
      <c r="F618" s="79">
        <v>635</v>
      </c>
      <c r="G618" s="3" t="s">
        <v>1221</v>
      </c>
      <c r="H618" s="3" t="s">
        <v>1756</v>
      </c>
      <c r="I618" s="3"/>
      <c r="J618" s="3" t="s">
        <v>1224</v>
      </c>
      <c r="K618" s="3" t="s">
        <v>1246</v>
      </c>
      <c r="L618" s="3" t="s">
        <v>1247</v>
      </c>
      <c r="M618" s="3" t="s">
        <v>1248</v>
      </c>
      <c r="N618" s="3" t="s">
        <v>1766</v>
      </c>
    </row>
    <row r="619" spans="1:14" x14ac:dyDescent="0.45">
      <c r="A619" s="3" t="s">
        <v>1159</v>
      </c>
      <c r="B619" s="3" t="s">
        <v>1160</v>
      </c>
      <c r="C619" s="3" t="s">
        <v>1767</v>
      </c>
      <c r="D619" s="3"/>
      <c r="E619" s="3" t="s">
        <v>1288</v>
      </c>
      <c r="F619" s="79">
        <v>586</v>
      </c>
      <c r="G619" s="3" t="s">
        <v>1221</v>
      </c>
      <c r="H619" s="3" t="s">
        <v>1756</v>
      </c>
      <c r="I619" s="3"/>
      <c r="J619" s="3" t="s">
        <v>1260</v>
      </c>
      <c r="K619" s="3" t="s">
        <v>1289</v>
      </c>
      <c r="L619" s="3" t="s">
        <v>1290</v>
      </c>
      <c r="M619" s="3" t="s">
        <v>1291</v>
      </c>
      <c r="N619" s="3" t="s">
        <v>1768</v>
      </c>
    </row>
    <row r="620" spans="1:14" x14ac:dyDescent="0.45">
      <c r="A620" s="3" t="s">
        <v>1159</v>
      </c>
      <c r="B620" s="3" t="s">
        <v>1160</v>
      </c>
      <c r="C620" s="3" t="s">
        <v>1769</v>
      </c>
      <c r="D620" s="3"/>
      <c r="E620" s="3" t="s">
        <v>1295</v>
      </c>
      <c r="F620" s="79">
        <v>622</v>
      </c>
      <c r="G620" s="3" t="s">
        <v>1221</v>
      </c>
      <c r="H620" s="3" t="s">
        <v>1756</v>
      </c>
      <c r="I620" s="3"/>
      <c r="J620" s="3" t="s">
        <v>1260</v>
      </c>
      <c r="K620" s="3" t="s">
        <v>1296</v>
      </c>
      <c r="L620" s="3" t="s">
        <v>1297</v>
      </c>
      <c r="M620" s="3" t="s">
        <v>1298</v>
      </c>
      <c r="N620" s="3" t="s">
        <v>1770</v>
      </c>
    </row>
    <row r="621" spans="1:14" x14ac:dyDescent="0.45">
      <c r="A621" s="3" t="s">
        <v>1159</v>
      </c>
      <c r="B621" s="3" t="s">
        <v>1160</v>
      </c>
      <c r="C621" s="3" t="s">
        <v>1771</v>
      </c>
      <c r="D621" s="3"/>
      <c r="E621" s="3" t="s">
        <v>1302</v>
      </c>
      <c r="F621" s="79">
        <v>650</v>
      </c>
      <c r="G621" s="3" t="s">
        <v>1221</v>
      </c>
      <c r="H621" s="3" t="s">
        <v>1756</v>
      </c>
      <c r="I621" s="3"/>
      <c r="J621" s="3" t="s">
        <v>1260</v>
      </c>
      <c r="K621" s="3" t="s">
        <v>1303</v>
      </c>
      <c r="L621" s="3" t="s">
        <v>1304</v>
      </c>
      <c r="M621" s="3" t="s">
        <v>1305</v>
      </c>
      <c r="N621" s="3" t="s">
        <v>1772</v>
      </c>
    </row>
    <row r="622" spans="1:14" x14ac:dyDescent="0.45">
      <c r="A622" s="3" t="s">
        <v>1159</v>
      </c>
      <c r="B622" s="3" t="s">
        <v>1160</v>
      </c>
      <c r="C622" s="3" t="s">
        <v>1773</v>
      </c>
      <c r="D622" s="3"/>
      <c r="E622" s="3" t="s">
        <v>1245</v>
      </c>
      <c r="F622" s="79">
        <v>747</v>
      </c>
      <c r="G622" s="3" t="s">
        <v>1221</v>
      </c>
      <c r="H622" s="3" t="s">
        <v>1756</v>
      </c>
      <c r="I622" s="3"/>
      <c r="J622" s="3" t="s">
        <v>1224</v>
      </c>
      <c r="K622" s="3" t="s">
        <v>1246</v>
      </c>
      <c r="L622" s="3" t="s">
        <v>1247</v>
      </c>
      <c r="M622" s="3" t="s">
        <v>1248</v>
      </c>
      <c r="N622" s="3" t="s">
        <v>1774</v>
      </c>
    </row>
    <row r="623" spans="1:14" x14ac:dyDescent="0.45">
      <c r="A623" s="3" t="s">
        <v>1159</v>
      </c>
      <c r="B623" s="3" t="s">
        <v>1160</v>
      </c>
      <c r="C623" s="3" t="s">
        <v>1775</v>
      </c>
      <c r="D623" s="3"/>
      <c r="E623" s="3" t="s">
        <v>1310</v>
      </c>
      <c r="F623" s="79">
        <v>771</v>
      </c>
      <c r="G623" s="3" t="s">
        <v>1221</v>
      </c>
      <c r="H623" s="3" t="s">
        <v>1756</v>
      </c>
      <c r="I623" s="3"/>
      <c r="J623" s="3" t="s">
        <v>1260</v>
      </c>
      <c r="K623" s="3" t="s">
        <v>1311</v>
      </c>
      <c r="L623" s="3" t="s">
        <v>1312</v>
      </c>
      <c r="M623" s="3" t="s">
        <v>1313</v>
      </c>
      <c r="N623" s="3" t="s">
        <v>1776</v>
      </c>
    </row>
    <row r="624" spans="1:14" x14ac:dyDescent="0.45">
      <c r="A624" s="3" t="s">
        <v>1159</v>
      </c>
      <c r="B624" s="3" t="s">
        <v>1160</v>
      </c>
      <c r="C624" s="3" t="s">
        <v>1777</v>
      </c>
      <c r="D624" s="3"/>
      <c r="E624" s="3" t="s">
        <v>1317</v>
      </c>
      <c r="F624" s="79">
        <v>864</v>
      </c>
      <c r="G624" s="3" t="s">
        <v>1221</v>
      </c>
      <c r="H624" s="3" t="s">
        <v>1756</v>
      </c>
      <c r="I624" s="3"/>
      <c r="J624" s="3" t="s">
        <v>1260</v>
      </c>
      <c r="K624" s="3" t="s">
        <v>1318</v>
      </c>
      <c r="L624" s="3" t="s">
        <v>1319</v>
      </c>
      <c r="M624" s="3" t="s">
        <v>1320</v>
      </c>
      <c r="N624" s="3" t="s">
        <v>1778</v>
      </c>
    </row>
    <row r="625" spans="1:14" x14ac:dyDescent="0.45">
      <c r="A625" s="3" t="s">
        <v>1159</v>
      </c>
      <c r="B625" s="3" t="s">
        <v>1160</v>
      </c>
      <c r="C625" s="3" t="s">
        <v>1779</v>
      </c>
      <c r="D625" s="3"/>
      <c r="E625" s="3" t="s">
        <v>1324</v>
      </c>
      <c r="F625" s="79">
        <v>944</v>
      </c>
      <c r="G625" s="3" t="s">
        <v>1221</v>
      </c>
      <c r="H625" s="3" t="s">
        <v>1756</v>
      </c>
      <c r="I625" s="3"/>
      <c r="J625" s="3" t="s">
        <v>1260</v>
      </c>
      <c r="K625" s="3" t="s">
        <v>1325</v>
      </c>
      <c r="L625" s="3" t="s">
        <v>1326</v>
      </c>
      <c r="M625" s="3" t="s">
        <v>1327</v>
      </c>
      <c r="N625" s="3" t="s">
        <v>1780</v>
      </c>
    </row>
    <row r="626" spans="1:14" x14ac:dyDescent="0.45">
      <c r="A626" s="3" t="s">
        <v>1159</v>
      </c>
      <c r="B626" s="3" t="s">
        <v>1160</v>
      </c>
      <c r="C626" s="3" t="s">
        <v>1781</v>
      </c>
      <c r="D626" s="3"/>
      <c r="E626" s="3" t="s">
        <v>1252</v>
      </c>
      <c r="F626" s="79">
        <v>1085</v>
      </c>
      <c r="G626" s="3" t="s">
        <v>1221</v>
      </c>
      <c r="H626" s="3" t="s">
        <v>1756</v>
      </c>
      <c r="I626" s="3"/>
      <c r="J626" s="3" t="s">
        <v>1260</v>
      </c>
      <c r="K626" s="3" t="s">
        <v>1340</v>
      </c>
      <c r="L626" s="3" t="s">
        <v>1341</v>
      </c>
      <c r="M626" s="3" t="s">
        <v>1342</v>
      </c>
      <c r="N626" s="3" t="s">
        <v>1782</v>
      </c>
    </row>
    <row r="627" spans="1:14" x14ac:dyDescent="0.45">
      <c r="A627" s="3" t="s">
        <v>1159</v>
      </c>
      <c r="B627" s="3" t="s">
        <v>1160</v>
      </c>
      <c r="C627" s="3" t="s">
        <v>1783</v>
      </c>
      <c r="D627" s="3"/>
      <c r="E627" s="3" t="s">
        <v>1332</v>
      </c>
      <c r="F627" s="79">
        <v>1259</v>
      </c>
      <c r="G627" s="3" t="s">
        <v>1221</v>
      </c>
      <c r="H627" s="3" t="s">
        <v>1756</v>
      </c>
      <c r="I627" s="3"/>
      <c r="J627" s="3" t="s">
        <v>1260</v>
      </c>
      <c r="K627" s="3" t="s">
        <v>1333</v>
      </c>
      <c r="L627" s="3" t="s">
        <v>1334</v>
      </c>
      <c r="M627" s="3" t="s">
        <v>1335</v>
      </c>
      <c r="N627" s="3" t="s">
        <v>1784</v>
      </c>
    </row>
    <row r="628" spans="1:14" x14ac:dyDescent="0.45">
      <c r="A628" s="3" t="s">
        <v>1159</v>
      </c>
      <c r="B628" s="3" t="s">
        <v>1160</v>
      </c>
      <c r="C628" s="3" t="s">
        <v>1785</v>
      </c>
      <c r="D628" s="3"/>
      <c r="E628" s="3" t="s">
        <v>1339</v>
      </c>
      <c r="F628" s="79">
        <v>1425</v>
      </c>
      <c r="G628" s="3" t="s">
        <v>1221</v>
      </c>
      <c r="H628" s="3" t="s">
        <v>1756</v>
      </c>
      <c r="I628" s="3"/>
      <c r="J628" s="3" t="s">
        <v>1260</v>
      </c>
      <c r="K628" s="3" t="s">
        <v>1340</v>
      </c>
      <c r="L628" s="3" t="s">
        <v>1341</v>
      </c>
      <c r="M628" s="3" t="s">
        <v>1342</v>
      </c>
      <c r="N628" s="3" t="s">
        <v>1786</v>
      </c>
    </row>
    <row r="629" spans="1:14" x14ac:dyDescent="0.45">
      <c r="A629" s="3" t="s">
        <v>1159</v>
      </c>
      <c r="B629" s="3" t="s">
        <v>1160</v>
      </c>
      <c r="C629" s="3" t="s">
        <v>1787</v>
      </c>
      <c r="D629" s="3"/>
      <c r="E629" s="3" t="s">
        <v>1346</v>
      </c>
      <c r="F629" s="79">
        <v>1605</v>
      </c>
      <c r="G629" s="3" t="s">
        <v>1221</v>
      </c>
      <c r="H629" s="3" t="s">
        <v>1756</v>
      </c>
      <c r="I629" s="3"/>
      <c r="J629" s="3" t="s">
        <v>1260</v>
      </c>
      <c r="K629" s="3" t="s">
        <v>1325</v>
      </c>
      <c r="L629" s="3" t="s">
        <v>1326</v>
      </c>
      <c r="M629" s="3" t="s">
        <v>1327</v>
      </c>
      <c r="N629" s="3" t="s">
        <v>1788</v>
      </c>
    </row>
    <row r="630" spans="1:14" x14ac:dyDescent="0.45">
      <c r="A630" s="3" t="s">
        <v>1159</v>
      </c>
      <c r="B630" s="3" t="s">
        <v>1160</v>
      </c>
      <c r="C630" s="3" t="s">
        <v>1789</v>
      </c>
      <c r="D630" s="3"/>
      <c r="E630" s="3" t="s">
        <v>1256</v>
      </c>
      <c r="F630" s="79">
        <v>1583</v>
      </c>
      <c r="G630" s="3" t="s">
        <v>1221</v>
      </c>
      <c r="H630" s="3" t="s">
        <v>1756</v>
      </c>
      <c r="I630" s="3"/>
      <c r="J630" s="3" t="s">
        <v>1260</v>
      </c>
      <c r="K630" s="3" t="s">
        <v>1340</v>
      </c>
      <c r="L630" s="3" t="s">
        <v>1341</v>
      </c>
      <c r="M630" s="3" t="s">
        <v>1342</v>
      </c>
      <c r="N630" s="3" t="s">
        <v>1790</v>
      </c>
    </row>
    <row r="631" spans="1:14" x14ac:dyDescent="0.45">
      <c r="A631" s="3" t="s">
        <v>1159</v>
      </c>
      <c r="B631" s="3" t="s">
        <v>1160</v>
      </c>
      <c r="C631" s="3" t="s">
        <v>1791</v>
      </c>
      <c r="D631" s="3"/>
      <c r="E631" s="3" t="s">
        <v>1352</v>
      </c>
      <c r="F631" s="79">
        <v>1413</v>
      </c>
      <c r="G631" s="3" t="s">
        <v>1221</v>
      </c>
      <c r="H631" s="3" t="s">
        <v>1756</v>
      </c>
      <c r="I631" s="3"/>
      <c r="J631" s="3" t="s">
        <v>1260</v>
      </c>
      <c r="K631" s="3" t="s">
        <v>1333</v>
      </c>
      <c r="L631" s="3" t="s">
        <v>1334</v>
      </c>
      <c r="M631" s="3" t="s">
        <v>1335</v>
      </c>
      <c r="N631" s="3" t="s">
        <v>1792</v>
      </c>
    </row>
    <row r="632" spans="1:14" x14ac:dyDescent="0.45">
      <c r="A632" s="3" t="s">
        <v>1159</v>
      </c>
      <c r="B632" s="3" t="s">
        <v>1160</v>
      </c>
      <c r="C632" s="3" t="s">
        <v>1793</v>
      </c>
      <c r="D632" s="3"/>
      <c r="E632" s="3" t="s">
        <v>1356</v>
      </c>
      <c r="F632" s="79">
        <v>1304</v>
      </c>
      <c r="G632" s="3" t="s">
        <v>1221</v>
      </c>
      <c r="H632" s="3" t="s">
        <v>1756</v>
      </c>
      <c r="I632" s="3"/>
      <c r="J632" s="3" t="s">
        <v>1260</v>
      </c>
      <c r="K632" s="3" t="s">
        <v>1340</v>
      </c>
      <c r="L632" s="3" t="s">
        <v>1341</v>
      </c>
      <c r="M632" s="3" t="s">
        <v>1342</v>
      </c>
      <c r="N632" s="3" t="s">
        <v>1794</v>
      </c>
    </row>
    <row r="633" spans="1:14" x14ac:dyDescent="0.45">
      <c r="A633" s="3" t="s">
        <v>521</v>
      </c>
      <c r="B633" s="3" t="s">
        <v>522</v>
      </c>
      <c r="C633" s="3" t="s">
        <v>1755</v>
      </c>
      <c r="D633" s="3"/>
      <c r="E633" s="3" t="s">
        <v>1220</v>
      </c>
      <c r="F633" s="79">
        <v>582</v>
      </c>
      <c r="G633" s="3" t="s">
        <v>1221</v>
      </c>
      <c r="H633" s="3" t="s">
        <v>1795</v>
      </c>
      <c r="I633" s="3"/>
      <c r="J633" s="3" t="s">
        <v>1224</v>
      </c>
      <c r="K633" s="3" t="s">
        <v>1225</v>
      </c>
      <c r="L633" s="3" t="s">
        <v>1226</v>
      </c>
      <c r="M633" s="3" t="s">
        <v>1227</v>
      </c>
      <c r="N633" s="3" t="s">
        <v>1796</v>
      </c>
    </row>
    <row r="634" spans="1:14" x14ac:dyDescent="0.45">
      <c r="A634" s="3" t="s">
        <v>521</v>
      </c>
      <c r="B634" s="3" t="s">
        <v>522</v>
      </c>
      <c r="C634" s="3" t="s">
        <v>1757</v>
      </c>
      <c r="D634" s="3"/>
      <c r="E634" s="3" t="s">
        <v>1231</v>
      </c>
      <c r="F634" s="79">
        <v>809</v>
      </c>
      <c r="G634" s="3" t="s">
        <v>1221</v>
      </c>
      <c r="H634" s="3" t="s">
        <v>1795</v>
      </c>
      <c r="I634" s="3"/>
      <c r="J634" s="3" t="s">
        <v>1224</v>
      </c>
      <c r="K634" s="3" t="s">
        <v>1232</v>
      </c>
      <c r="L634" s="3" t="s">
        <v>1233</v>
      </c>
      <c r="M634" s="3" t="s">
        <v>1234</v>
      </c>
      <c r="N634" s="3" t="s">
        <v>1797</v>
      </c>
    </row>
    <row r="635" spans="1:14" x14ac:dyDescent="0.45">
      <c r="A635" s="3" t="s">
        <v>521</v>
      </c>
      <c r="B635" s="3" t="s">
        <v>522</v>
      </c>
      <c r="C635" s="3" t="s">
        <v>1759</v>
      </c>
      <c r="D635" s="3"/>
      <c r="E635" s="3" t="s">
        <v>1266</v>
      </c>
      <c r="F635" s="79">
        <v>757</v>
      </c>
      <c r="G635" s="3" t="s">
        <v>1221</v>
      </c>
      <c r="H635" s="3" t="s">
        <v>1795</v>
      </c>
      <c r="I635" s="3"/>
      <c r="J635" s="3" t="s">
        <v>1260</v>
      </c>
      <c r="K635" s="3" t="s">
        <v>1267</v>
      </c>
      <c r="L635" s="3" t="s">
        <v>1268</v>
      </c>
      <c r="M635" s="3" t="s">
        <v>1269</v>
      </c>
      <c r="N635" s="3" t="s">
        <v>1798</v>
      </c>
    </row>
    <row r="636" spans="1:14" x14ac:dyDescent="0.45">
      <c r="A636" s="3" t="s">
        <v>521</v>
      </c>
      <c r="B636" s="3" t="s">
        <v>522</v>
      </c>
      <c r="C636" s="3" t="s">
        <v>1761</v>
      </c>
      <c r="D636" s="3"/>
      <c r="E636" s="3" t="s">
        <v>1273</v>
      </c>
      <c r="F636" s="79">
        <v>697</v>
      </c>
      <c r="G636" s="3" t="s">
        <v>1221</v>
      </c>
      <c r="H636" s="3" t="s">
        <v>1795</v>
      </c>
      <c r="I636" s="3"/>
      <c r="J636" s="3" t="s">
        <v>1260</v>
      </c>
      <c r="K636" s="3" t="s">
        <v>1274</v>
      </c>
      <c r="L636" s="3" t="s">
        <v>1275</v>
      </c>
      <c r="M636" s="3" t="s">
        <v>1276</v>
      </c>
      <c r="N636" s="3" t="s">
        <v>1799</v>
      </c>
    </row>
    <row r="637" spans="1:14" x14ac:dyDescent="0.45">
      <c r="A637" s="3" t="s">
        <v>521</v>
      </c>
      <c r="B637" s="3" t="s">
        <v>522</v>
      </c>
      <c r="C637" s="3" t="s">
        <v>1763</v>
      </c>
      <c r="D637" s="3"/>
      <c r="E637" s="3" t="s">
        <v>1280</v>
      </c>
      <c r="F637" s="79">
        <v>644</v>
      </c>
      <c r="G637" s="3" t="s">
        <v>1221</v>
      </c>
      <c r="H637" s="3" t="s">
        <v>1795</v>
      </c>
      <c r="I637" s="3"/>
      <c r="J637" s="3" t="s">
        <v>1260</v>
      </c>
      <c r="K637" s="3" t="s">
        <v>1281</v>
      </c>
      <c r="L637" s="3" t="s">
        <v>1282</v>
      </c>
      <c r="M637" s="3" t="s">
        <v>1283</v>
      </c>
      <c r="N637" s="3" t="s">
        <v>1359</v>
      </c>
    </row>
    <row r="638" spans="1:14" x14ac:dyDescent="0.45">
      <c r="A638" s="3" t="s">
        <v>521</v>
      </c>
      <c r="B638" s="3" t="s">
        <v>522</v>
      </c>
      <c r="C638" s="3" t="s">
        <v>1765</v>
      </c>
      <c r="D638" s="3"/>
      <c r="E638" s="3" t="s">
        <v>1238</v>
      </c>
      <c r="F638" s="79">
        <v>547</v>
      </c>
      <c r="G638" s="3" t="s">
        <v>1221</v>
      </c>
      <c r="H638" s="3" t="s">
        <v>1795</v>
      </c>
      <c r="I638" s="3"/>
      <c r="J638" s="3" t="s">
        <v>1224</v>
      </c>
      <c r="K638" s="3" t="s">
        <v>1239</v>
      </c>
      <c r="L638" s="3" t="s">
        <v>1240</v>
      </c>
      <c r="M638" s="3" t="s">
        <v>1241</v>
      </c>
      <c r="N638" s="3" t="s">
        <v>1800</v>
      </c>
    </row>
    <row r="639" spans="1:14" x14ac:dyDescent="0.45">
      <c r="A639" s="3" t="s">
        <v>521</v>
      </c>
      <c r="B639" s="3" t="s">
        <v>522</v>
      </c>
      <c r="C639" s="3" t="s">
        <v>1767</v>
      </c>
      <c r="D639" s="3"/>
      <c r="E639" s="3" t="s">
        <v>1288</v>
      </c>
      <c r="F639" s="79">
        <v>451</v>
      </c>
      <c r="G639" s="3" t="s">
        <v>1221</v>
      </c>
      <c r="H639" s="3" t="s">
        <v>1795</v>
      </c>
      <c r="I639" s="3"/>
      <c r="J639" s="3" t="s">
        <v>1260</v>
      </c>
      <c r="K639" s="3" t="s">
        <v>1289</v>
      </c>
      <c r="L639" s="3" t="s">
        <v>1290</v>
      </c>
      <c r="M639" s="3" t="s">
        <v>1291</v>
      </c>
      <c r="N639" s="3" t="s">
        <v>1801</v>
      </c>
    </row>
    <row r="640" spans="1:14" x14ac:dyDescent="0.45">
      <c r="A640" s="3" t="s">
        <v>521</v>
      </c>
      <c r="B640" s="3" t="s">
        <v>522</v>
      </c>
      <c r="C640" s="3" t="s">
        <v>1769</v>
      </c>
      <c r="D640" s="3"/>
      <c r="E640" s="3" t="s">
        <v>1295</v>
      </c>
      <c r="F640" s="79">
        <v>488</v>
      </c>
      <c r="G640" s="3" t="s">
        <v>1221</v>
      </c>
      <c r="H640" s="3" t="s">
        <v>1795</v>
      </c>
      <c r="I640" s="3"/>
      <c r="J640" s="3" t="s">
        <v>1260</v>
      </c>
      <c r="K640" s="3" t="s">
        <v>1296</v>
      </c>
      <c r="L640" s="3" t="s">
        <v>1297</v>
      </c>
      <c r="M640" s="3" t="s">
        <v>1298</v>
      </c>
      <c r="N640" s="3" t="s">
        <v>1802</v>
      </c>
    </row>
    <row r="641" spans="1:14" x14ac:dyDescent="0.45">
      <c r="A641" s="3" t="s">
        <v>521</v>
      </c>
      <c r="B641" s="3" t="s">
        <v>522</v>
      </c>
      <c r="C641" s="3" t="s">
        <v>1771</v>
      </c>
      <c r="D641" s="3"/>
      <c r="E641" s="3" t="s">
        <v>1302</v>
      </c>
      <c r="F641" s="79">
        <v>514</v>
      </c>
      <c r="G641" s="3" t="s">
        <v>1221</v>
      </c>
      <c r="H641" s="3" t="s">
        <v>1795</v>
      </c>
      <c r="I641" s="3"/>
      <c r="J641" s="3" t="s">
        <v>1260</v>
      </c>
      <c r="K641" s="3" t="s">
        <v>1303</v>
      </c>
      <c r="L641" s="3" t="s">
        <v>1304</v>
      </c>
      <c r="M641" s="3" t="s">
        <v>1305</v>
      </c>
      <c r="N641" s="3" t="s">
        <v>1803</v>
      </c>
    </row>
    <row r="642" spans="1:14" x14ac:dyDescent="0.45">
      <c r="A642" s="3" t="s">
        <v>521</v>
      </c>
      <c r="B642" s="3" t="s">
        <v>522</v>
      </c>
      <c r="C642" s="3" t="s">
        <v>1773</v>
      </c>
      <c r="D642" s="3"/>
      <c r="E642" s="3" t="s">
        <v>1245</v>
      </c>
      <c r="F642" s="79">
        <v>605</v>
      </c>
      <c r="G642" s="3" t="s">
        <v>1221</v>
      </c>
      <c r="H642" s="3" t="s">
        <v>1795</v>
      </c>
      <c r="I642" s="3"/>
      <c r="J642" s="3" t="s">
        <v>1224</v>
      </c>
      <c r="K642" s="3" t="s">
        <v>1246</v>
      </c>
      <c r="L642" s="3" t="s">
        <v>1247</v>
      </c>
      <c r="M642" s="3" t="s">
        <v>1248</v>
      </c>
      <c r="N642" s="3" t="s">
        <v>1804</v>
      </c>
    </row>
    <row r="643" spans="1:14" x14ac:dyDescent="0.45">
      <c r="A643" s="3" t="s">
        <v>521</v>
      </c>
      <c r="B643" s="3" t="s">
        <v>522</v>
      </c>
      <c r="C643" s="3" t="s">
        <v>1775</v>
      </c>
      <c r="D643" s="3"/>
      <c r="E643" s="3" t="s">
        <v>1310</v>
      </c>
      <c r="F643" s="79">
        <v>578</v>
      </c>
      <c r="G643" s="3" t="s">
        <v>1221</v>
      </c>
      <c r="H643" s="3" t="s">
        <v>1795</v>
      </c>
      <c r="I643" s="3"/>
      <c r="J643" s="3" t="s">
        <v>1260</v>
      </c>
      <c r="K643" s="3" t="s">
        <v>1311</v>
      </c>
      <c r="L643" s="3" t="s">
        <v>1312</v>
      </c>
      <c r="M643" s="3" t="s">
        <v>1313</v>
      </c>
      <c r="N643" s="3" t="s">
        <v>1805</v>
      </c>
    </row>
    <row r="644" spans="1:14" x14ac:dyDescent="0.45">
      <c r="A644" s="3" t="s">
        <v>521</v>
      </c>
      <c r="B644" s="3" t="s">
        <v>522</v>
      </c>
      <c r="C644" s="3" t="s">
        <v>1777</v>
      </c>
      <c r="D644" s="3"/>
      <c r="E644" s="3" t="s">
        <v>1317</v>
      </c>
      <c r="F644" s="79">
        <v>691</v>
      </c>
      <c r="G644" s="3" t="s">
        <v>1221</v>
      </c>
      <c r="H644" s="3" t="s">
        <v>1795</v>
      </c>
      <c r="I644" s="3"/>
      <c r="J644" s="3" t="s">
        <v>1260</v>
      </c>
      <c r="K644" s="3" t="s">
        <v>1318</v>
      </c>
      <c r="L644" s="3" t="s">
        <v>1319</v>
      </c>
      <c r="M644" s="3" t="s">
        <v>1320</v>
      </c>
      <c r="N644" s="3" t="s">
        <v>1806</v>
      </c>
    </row>
    <row r="645" spans="1:14" x14ac:dyDescent="0.45">
      <c r="A645" s="3" t="s">
        <v>521</v>
      </c>
      <c r="B645" s="3" t="s">
        <v>522</v>
      </c>
      <c r="C645" s="3" t="s">
        <v>1779</v>
      </c>
      <c r="D645" s="3"/>
      <c r="E645" s="3" t="s">
        <v>1324</v>
      </c>
      <c r="F645" s="79">
        <v>761</v>
      </c>
      <c r="G645" s="3" t="s">
        <v>1221</v>
      </c>
      <c r="H645" s="3" t="s">
        <v>1795</v>
      </c>
      <c r="I645" s="3"/>
      <c r="J645" s="3" t="s">
        <v>1260</v>
      </c>
      <c r="K645" s="3" t="s">
        <v>1325</v>
      </c>
      <c r="L645" s="3" t="s">
        <v>1326</v>
      </c>
      <c r="M645" s="3" t="s">
        <v>1327</v>
      </c>
      <c r="N645" s="3" t="s">
        <v>1807</v>
      </c>
    </row>
    <row r="646" spans="1:14" x14ac:dyDescent="0.45">
      <c r="A646" s="3" t="s">
        <v>521</v>
      </c>
      <c r="B646" s="3" t="s">
        <v>522</v>
      </c>
      <c r="C646" s="3" t="s">
        <v>1781</v>
      </c>
      <c r="D646" s="3"/>
      <c r="E646" s="3" t="s">
        <v>1252</v>
      </c>
      <c r="F646" s="79">
        <v>903</v>
      </c>
      <c r="G646" s="3" t="s">
        <v>1221</v>
      </c>
      <c r="H646" s="3" t="s">
        <v>1795</v>
      </c>
      <c r="I646" s="3"/>
      <c r="J646" s="3" t="s">
        <v>1224</v>
      </c>
      <c r="K646" s="3" t="s">
        <v>1246</v>
      </c>
      <c r="L646" s="3" t="s">
        <v>1247</v>
      </c>
      <c r="M646" s="3" t="s">
        <v>1248</v>
      </c>
      <c r="N646" s="3" t="s">
        <v>1808</v>
      </c>
    </row>
    <row r="647" spans="1:14" x14ac:dyDescent="0.45">
      <c r="A647" s="3" t="s">
        <v>521</v>
      </c>
      <c r="B647" s="3" t="s">
        <v>522</v>
      </c>
      <c r="C647" s="3" t="s">
        <v>1783</v>
      </c>
      <c r="D647" s="3"/>
      <c r="E647" s="3" t="s">
        <v>1332</v>
      </c>
      <c r="F647" s="79">
        <v>1005</v>
      </c>
      <c r="G647" s="3" t="s">
        <v>1221</v>
      </c>
      <c r="H647" s="3" t="s">
        <v>1795</v>
      </c>
      <c r="I647" s="3"/>
      <c r="J647" s="3" t="s">
        <v>1260</v>
      </c>
      <c r="K647" s="3" t="s">
        <v>1333</v>
      </c>
      <c r="L647" s="3" t="s">
        <v>1334</v>
      </c>
      <c r="M647" s="3" t="s">
        <v>1335</v>
      </c>
      <c r="N647" s="3" t="s">
        <v>1809</v>
      </c>
    </row>
    <row r="648" spans="1:14" x14ac:dyDescent="0.45">
      <c r="A648" s="3" t="s">
        <v>521</v>
      </c>
      <c r="B648" s="3" t="s">
        <v>522</v>
      </c>
      <c r="C648" s="3" t="s">
        <v>1785</v>
      </c>
      <c r="D648" s="3"/>
      <c r="E648" s="3" t="s">
        <v>1339</v>
      </c>
      <c r="F648" s="79">
        <v>1194</v>
      </c>
      <c r="G648" s="3" t="s">
        <v>1221</v>
      </c>
      <c r="H648" s="3" t="s">
        <v>1795</v>
      </c>
      <c r="I648" s="3"/>
      <c r="J648" s="3" t="s">
        <v>1260</v>
      </c>
      <c r="K648" s="3" t="s">
        <v>1340</v>
      </c>
      <c r="L648" s="3" t="s">
        <v>1341</v>
      </c>
      <c r="M648" s="3" t="s">
        <v>1342</v>
      </c>
      <c r="N648" s="3" t="s">
        <v>1810</v>
      </c>
    </row>
    <row r="649" spans="1:14" x14ac:dyDescent="0.45">
      <c r="A649" s="3" t="s">
        <v>521</v>
      </c>
      <c r="B649" s="3" t="s">
        <v>522</v>
      </c>
      <c r="C649" s="3" t="s">
        <v>1787</v>
      </c>
      <c r="D649" s="3"/>
      <c r="E649" s="3" t="s">
        <v>1346</v>
      </c>
      <c r="F649" s="79">
        <v>1357</v>
      </c>
      <c r="G649" s="3" t="s">
        <v>1221</v>
      </c>
      <c r="H649" s="3" t="s">
        <v>1795</v>
      </c>
      <c r="I649" s="3"/>
      <c r="J649" s="3" t="s">
        <v>1260</v>
      </c>
      <c r="K649" s="3" t="s">
        <v>1325</v>
      </c>
      <c r="L649" s="3" t="s">
        <v>1326</v>
      </c>
      <c r="M649" s="3" t="s">
        <v>1327</v>
      </c>
      <c r="N649" s="3" t="s">
        <v>1811</v>
      </c>
    </row>
    <row r="650" spans="1:14" x14ac:dyDescent="0.45">
      <c r="A650" s="3" t="s">
        <v>521</v>
      </c>
      <c r="B650" s="3" t="s">
        <v>522</v>
      </c>
      <c r="C650" s="3" t="s">
        <v>1789</v>
      </c>
      <c r="D650" s="3"/>
      <c r="E650" s="3" t="s">
        <v>1256</v>
      </c>
      <c r="F650" s="79">
        <v>1353</v>
      </c>
      <c r="G650" s="3" t="s">
        <v>1221</v>
      </c>
      <c r="H650" s="3" t="s">
        <v>1795</v>
      </c>
      <c r="I650" s="3"/>
      <c r="J650" s="3" t="s">
        <v>1260</v>
      </c>
      <c r="K650" s="3" t="s">
        <v>1340</v>
      </c>
      <c r="L650" s="3" t="s">
        <v>1341</v>
      </c>
      <c r="M650" s="3" t="s">
        <v>1342</v>
      </c>
      <c r="N650" s="3" t="s">
        <v>1812</v>
      </c>
    </row>
    <row r="651" spans="1:14" x14ac:dyDescent="0.45">
      <c r="A651" s="3" t="s">
        <v>521</v>
      </c>
      <c r="B651" s="3" t="s">
        <v>522</v>
      </c>
      <c r="C651" s="3" t="s">
        <v>1791</v>
      </c>
      <c r="D651" s="3"/>
      <c r="E651" s="3" t="s">
        <v>1352</v>
      </c>
      <c r="F651" s="79">
        <v>1098</v>
      </c>
      <c r="G651" s="3" t="s">
        <v>1221</v>
      </c>
      <c r="H651" s="3" t="s">
        <v>1795</v>
      </c>
      <c r="I651" s="3"/>
      <c r="J651" s="3" t="s">
        <v>1260</v>
      </c>
      <c r="K651" s="3" t="s">
        <v>1333</v>
      </c>
      <c r="L651" s="3" t="s">
        <v>1334</v>
      </c>
      <c r="M651" s="3" t="s">
        <v>1335</v>
      </c>
      <c r="N651" s="3" t="s">
        <v>1813</v>
      </c>
    </row>
    <row r="652" spans="1:14" x14ac:dyDescent="0.45">
      <c r="A652" s="3" t="s">
        <v>521</v>
      </c>
      <c r="B652" s="3" t="s">
        <v>522</v>
      </c>
      <c r="C652" s="3" t="s">
        <v>1793</v>
      </c>
      <c r="D652" s="3"/>
      <c r="E652" s="3" t="s">
        <v>1356</v>
      </c>
      <c r="F652" s="79">
        <v>1015</v>
      </c>
      <c r="G652" s="3" t="s">
        <v>1221</v>
      </c>
      <c r="H652" s="3" t="s">
        <v>1795</v>
      </c>
      <c r="I652" s="3"/>
      <c r="J652" s="3" t="s">
        <v>1260</v>
      </c>
      <c r="K652" s="3" t="s">
        <v>1340</v>
      </c>
      <c r="L652" s="3" t="s">
        <v>1341</v>
      </c>
      <c r="M652" s="3" t="s">
        <v>1342</v>
      </c>
      <c r="N652" s="3" t="s">
        <v>1814</v>
      </c>
    </row>
    <row r="653" spans="1:14" x14ac:dyDescent="0.45">
      <c r="A653" s="3" t="s">
        <v>1161</v>
      </c>
      <c r="B653" s="3" t="s">
        <v>1815</v>
      </c>
      <c r="C653" s="3" t="s">
        <v>1755</v>
      </c>
      <c r="D653" s="3"/>
      <c r="E653" s="3" t="s">
        <v>1220</v>
      </c>
      <c r="F653" s="79">
        <v>0</v>
      </c>
      <c r="G653" s="3" t="s">
        <v>1221</v>
      </c>
      <c r="H653" s="3" t="s">
        <v>1816</v>
      </c>
      <c r="I653" s="3"/>
      <c r="J653" s="3" t="s">
        <v>1224</v>
      </c>
      <c r="K653" s="3" t="s">
        <v>1817</v>
      </c>
      <c r="L653" s="3" t="s">
        <v>1818</v>
      </c>
      <c r="M653" s="3" t="s">
        <v>1819</v>
      </c>
      <c r="N653" s="3" t="s">
        <v>1571</v>
      </c>
    </row>
    <row r="654" spans="1:14" x14ac:dyDescent="0.45">
      <c r="A654" s="3" t="s">
        <v>1161</v>
      </c>
      <c r="B654" s="3" t="s">
        <v>1815</v>
      </c>
      <c r="C654" s="3" t="s">
        <v>1757</v>
      </c>
      <c r="D654" s="3"/>
      <c r="E654" s="3" t="s">
        <v>1231</v>
      </c>
      <c r="F654" s="79">
        <v>457</v>
      </c>
      <c r="G654" s="3" t="s">
        <v>1221</v>
      </c>
      <c r="H654" s="3" t="s">
        <v>1816</v>
      </c>
      <c r="I654" s="3"/>
      <c r="J654" s="3" t="s">
        <v>1224</v>
      </c>
      <c r="K654" s="3" t="s">
        <v>1225</v>
      </c>
      <c r="L654" s="3" t="s">
        <v>1226</v>
      </c>
      <c r="M654" s="3" t="s">
        <v>1227</v>
      </c>
      <c r="N654" s="3" t="s">
        <v>1820</v>
      </c>
    </row>
    <row r="655" spans="1:14" x14ac:dyDescent="0.45">
      <c r="A655" s="3" t="s">
        <v>1161</v>
      </c>
      <c r="B655" s="3" t="s">
        <v>1815</v>
      </c>
      <c r="C655" s="3" t="s">
        <v>1759</v>
      </c>
      <c r="D655" s="3"/>
      <c r="E655" s="3" t="s">
        <v>1266</v>
      </c>
      <c r="F655" s="79">
        <v>453</v>
      </c>
      <c r="G655" s="3" t="s">
        <v>1221</v>
      </c>
      <c r="H655" s="3" t="s">
        <v>1816</v>
      </c>
      <c r="I655" s="3"/>
      <c r="J655" s="3" t="s">
        <v>1260</v>
      </c>
      <c r="K655" s="3" t="s">
        <v>1821</v>
      </c>
      <c r="L655" s="3" t="s">
        <v>1822</v>
      </c>
      <c r="M655" s="3" t="s">
        <v>1823</v>
      </c>
      <c r="N655" s="3" t="s">
        <v>1824</v>
      </c>
    </row>
    <row r="656" spans="1:14" x14ac:dyDescent="0.45">
      <c r="A656" s="3" t="s">
        <v>1161</v>
      </c>
      <c r="B656" s="3" t="s">
        <v>1815</v>
      </c>
      <c r="C656" s="3" t="s">
        <v>1761</v>
      </c>
      <c r="D656" s="3"/>
      <c r="E656" s="3" t="s">
        <v>1273</v>
      </c>
      <c r="F656" s="79">
        <v>482</v>
      </c>
      <c r="G656" s="3" t="s">
        <v>1221</v>
      </c>
      <c r="H656" s="3" t="s">
        <v>1816</v>
      </c>
      <c r="I656" s="3"/>
      <c r="J656" s="3" t="s">
        <v>1260</v>
      </c>
      <c r="K656" s="3" t="s">
        <v>1825</v>
      </c>
      <c r="L656" s="3" t="s">
        <v>1826</v>
      </c>
      <c r="M656" s="3" t="s">
        <v>1827</v>
      </c>
      <c r="N656" s="3" t="s">
        <v>1828</v>
      </c>
    </row>
    <row r="657" spans="1:14" x14ac:dyDescent="0.45">
      <c r="A657" s="3" t="s">
        <v>1161</v>
      </c>
      <c r="B657" s="3" t="s">
        <v>1815</v>
      </c>
      <c r="C657" s="3" t="s">
        <v>1763</v>
      </c>
      <c r="D657" s="3"/>
      <c r="E657" s="3" t="s">
        <v>1280</v>
      </c>
      <c r="F657" s="79">
        <v>409</v>
      </c>
      <c r="G657" s="3" t="s">
        <v>1221</v>
      </c>
      <c r="H657" s="3" t="s">
        <v>1816</v>
      </c>
      <c r="I657" s="3"/>
      <c r="J657" s="3" t="s">
        <v>1260</v>
      </c>
      <c r="K657" s="3" t="s">
        <v>1261</v>
      </c>
      <c r="L657" s="3" t="s">
        <v>1262</v>
      </c>
      <c r="M657" s="3" t="s">
        <v>1263</v>
      </c>
      <c r="N657" s="3" t="s">
        <v>1829</v>
      </c>
    </row>
    <row r="658" spans="1:14" x14ac:dyDescent="0.45">
      <c r="A658" s="3" t="s">
        <v>1161</v>
      </c>
      <c r="B658" s="3" t="s">
        <v>1815</v>
      </c>
      <c r="C658" s="3" t="s">
        <v>1765</v>
      </c>
      <c r="D658" s="3"/>
      <c r="E658" s="3" t="s">
        <v>1238</v>
      </c>
      <c r="F658" s="79">
        <v>474</v>
      </c>
      <c r="G658" s="3" t="s">
        <v>1221</v>
      </c>
      <c r="H658" s="3" t="s">
        <v>1816</v>
      </c>
      <c r="I658" s="3"/>
      <c r="J658" s="3" t="s">
        <v>1224</v>
      </c>
      <c r="K658" s="3" t="s">
        <v>1232</v>
      </c>
      <c r="L658" s="3" t="s">
        <v>1233</v>
      </c>
      <c r="M658" s="3" t="s">
        <v>1234</v>
      </c>
      <c r="N658" s="3" t="s">
        <v>1830</v>
      </c>
    </row>
    <row r="659" spans="1:14" x14ac:dyDescent="0.45">
      <c r="A659" s="3" t="s">
        <v>1161</v>
      </c>
      <c r="B659" s="3" t="s">
        <v>1815</v>
      </c>
      <c r="C659" s="3" t="s">
        <v>1767</v>
      </c>
      <c r="D659" s="3"/>
      <c r="E659" s="3" t="s">
        <v>1288</v>
      </c>
      <c r="F659" s="79">
        <v>499</v>
      </c>
      <c r="G659" s="3" t="s">
        <v>1221</v>
      </c>
      <c r="H659" s="3" t="s">
        <v>1816</v>
      </c>
      <c r="I659" s="3"/>
      <c r="J659" s="3" t="s">
        <v>1260</v>
      </c>
      <c r="K659" s="3" t="s">
        <v>1267</v>
      </c>
      <c r="L659" s="3" t="s">
        <v>1268</v>
      </c>
      <c r="M659" s="3" t="s">
        <v>1269</v>
      </c>
      <c r="N659" s="3" t="s">
        <v>1831</v>
      </c>
    </row>
    <row r="660" spans="1:14" x14ac:dyDescent="0.45">
      <c r="A660" s="3" t="s">
        <v>1161</v>
      </c>
      <c r="B660" s="3" t="s">
        <v>1815</v>
      </c>
      <c r="C660" s="3" t="s">
        <v>1769</v>
      </c>
      <c r="D660" s="3"/>
      <c r="E660" s="3" t="s">
        <v>1295</v>
      </c>
      <c r="F660" s="79">
        <v>502</v>
      </c>
      <c r="G660" s="3" t="s">
        <v>1221</v>
      </c>
      <c r="H660" s="3" t="s">
        <v>1816</v>
      </c>
      <c r="I660" s="3"/>
      <c r="J660" s="3" t="s">
        <v>1260</v>
      </c>
      <c r="K660" s="3" t="s">
        <v>1274</v>
      </c>
      <c r="L660" s="3" t="s">
        <v>1275</v>
      </c>
      <c r="M660" s="3" t="s">
        <v>1276</v>
      </c>
      <c r="N660" s="3" t="s">
        <v>1832</v>
      </c>
    </row>
    <row r="661" spans="1:14" x14ac:dyDescent="0.45">
      <c r="A661" s="3" t="s">
        <v>1161</v>
      </c>
      <c r="B661" s="3" t="s">
        <v>1815</v>
      </c>
      <c r="C661" s="3" t="s">
        <v>1771</v>
      </c>
      <c r="D661" s="3"/>
      <c r="E661" s="3" t="s">
        <v>1302</v>
      </c>
      <c r="F661" s="79">
        <v>516</v>
      </c>
      <c r="G661" s="3" t="s">
        <v>1221</v>
      </c>
      <c r="H661" s="3" t="s">
        <v>1816</v>
      </c>
      <c r="I661" s="3"/>
      <c r="J661" s="3" t="s">
        <v>1260</v>
      </c>
      <c r="K661" s="3" t="s">
        <v>1281</v>
      </c>
      <c r="L661" s="3" t="s">
        <v>1282</v>
      </c>
      <c r="M661" s="3" t="s">
        <v>1283</v>
      </c>
      <c r="N661" s="3" t="s">
        <v>1510</v>
      </c>
    </row>
    <row r="662" spans="1:14" x14ac:dyDescent="0.45">
      <c r="A662" s="3" t="s">
        <v>1161</v>
      </c>
      <c r="B662" s="3" t="s">
        <v>1815</v>
      </c>
      <c r="C662" s="3" t="s">
        <v>1773</v>
      </c>
      <c r="D662" s="3"/>
      <c r="E662" s="3" t="s">
        <v>1245</v>
      </c>
      <c r="F662" s="79">
        <v>519</v>
      </c>
      <c r="G662" s="3" t="s">
        <v>1221</v>
      </c>
      <c r="H662" s="3" t="s">
        <v>1833</v>
      </c>
      <c r="I662" s="3"/>
      <c r="J662" s="3" t="s">
        <v>1224</v>
      </c>
      <c r="K662" s="3" t="s">
        <v>1239</v>
      </c>
      <c r="L662" s="3" t="s">
        <v>1240</v>
      </c>
      <c r="M662" s="3" t="s">
        <v>1241</v>
      </c>
      <c r="N662" s="3" t="s">
        <v>1834</v>
      </c>
    </row>
    <row r="663" spans="1:14" x14ac:dyDescent="0.45">
      <c r="A663" s="3" t="s">
        <v>1161</v>
      </c>
      <c r="B663" s="3" t="s">
        <v>1815</v>
      </c>
      <c r="C663" s="3" t="s">
        <v>1775</v>
      </c>
      <c r="D663" s="3"/>
      <c r="E663" s="3" t="s">
        <v>1310</v>
      </c>
      <c r="F663" s="79">
        <v>537</v>
      </c>
      <c r="G663" s="3" t="s">
        <v>1221</v>
      </c>
      <c r="H663" s="3" t="s">
        <v>1816</v>
      </c>
      <c r="I663" s="3"/>
      <c r="J663" s="3" t="s">
        <v>1260</v>
      </c>
      <c r="K663" s="3" t="s">
        <v>1289</v>
      </c>
      <c r="L663" s="3" t="s">
        <v>1290</v>
      </c>
      <c r="M663" s="3" t="s">
        <v>1291</v>
      </c>
      <c r="N663" s="3" t="s">
        <v>1835</v>
      </c>
    </row>
    <row r="664" spans="1:14" x14ac:dyDescent="0.45">
      <c r="A664" s="3" t="s">
        <v>1161</v>
      </c>
      <c r="B664" s="3" t="s">
        <v>1815</v>
      </c>
      <c r="C664" s="3" t="s">
        <v>1777</v>
      </c>
      <c r="D664" s="3"/>
      <c r="E664" s="3" t="s">
        <v>1317</v>
      </c>
      <c r="F664" s="79">
        <v>528</v>
      </c>
      <c r="G664" s="3" t="s">
        <v>1221</v>
      </c>
      <c r="H664" s="3" t="s">
        <v>1816</v>
      </c>
      <c r="I664" s="3"/>
      <c r="J664" s="3" t="s">
        <v>1260</v>
      </c>
      <c r="K664" s="3" t="s">
        <v>1296</v>
      </c>
      <c r="L664" s="3" t="s">
        <v>1297</v>
      </c>
      <c r="M664" s="3" t="s">
        <v>1298</v>
      </c>
      <c r="N664" s="3" t="s">
        <v>1836</v>
      </c>
    </row>
    <row r="665" spans="1:14" x14ac:dyDescent="0.45">
      <c r="A665" s="3" t="s">
        <v>1161</v>
      </c>
      <c r="B665" s="3" t="s">
        <v>1815</v>
      </c>
      <c r="C665" s="3" t="s">
        <v>1779</v>
      </c>
      <c r="D665" s="3"/>
      <c r="E665" s="3" t="s">
        <v>1324</v>
      </c>
      <c r="F665" s="79">
        <v>511</v>
      </c>
      <c r="G665" s="3" t="s">
        <v>1221</v>
      </c>
      <c r="H665" s="3" t="s">
        <v>1816</v>
      </c>
      <c r="I665" s="3"/>
      <c r="J665" s="3" t="s">
        <v>1260</v>
      </c>
      <c r="K665" s="3" t="s">
        <v>1303</v>
      </c>
      <c r="L665" s="3" t="s">
        <v>1304</v>
      </c>
      <c r="M665" s="3" t="s">
        <v>1305</v>
      </c>
      <c r="N665" s="3" t="s">
        <v>1489</v>
      </c>
    </row>
    <row r="666" spans="1:14" x14ac:dyDescent="0.45">
      <c r="A666" s="3" t="s">
        <v>1161</v>
      </c>
      <c r="B666" s="3" t="s">
        <v>1815</v>
      </c>
      <c r="C666" s="3" t="s">
        <v>1781</v>
      </c>
      <c r="D666" s="3"/>
      <c r="E666" s="3" t="s">
        <v>1252</v>
      </c>
      <c r="F666" s="79">
        <v>514</v>
      </c>
      <c r="G666" s="3" t="s">
        <v>1221</v>
      </c>
      <c r="H666" s="3" t="s">
        <v>1833</v>
      </c>
      <c r="I666" s="3"/>
      <c r="J666" s="3" t="s">
        <v>1224</v>
      </c>
      <c r="K666" s="3" t="s">
        <v>1246</v>
      </c>
      <c r="L666" s="3" t="s">
        <v>1247</v>
      </c>
      <c r="M666" s="3" t="s">
        <v>1248</v>
      </c>
      <c r="N666" s="3" t="s">
        <v>1803</v>
      </c>
    </row>
    <row r="667" spans="1:14" x14ac:dyDescent="0.45">
      <c r="A667" s="3" t="s">
        <v>1161</v>
      </c>
      <c r="B667" s="3" t="s">
        <v>1815</v>
      </c>
      <c r="C667" s="3" t="s">
        <v>1783</v>
      </c>
      <c r="D667" s="3"/>
      <c r="E667" s="3" t="s">
        <v>1332</v>
      </c>
      <c r="F667" s="79">
        <v>484</v>
      </c>
      <c r="G667" s="3" t="s">
        <v>1221</v>
      </c>
      <c r="H667" s="3" t="s">
        <v>1833</v>
      </c>
      <c r="I667" s="3"/>
      <c r="J667" s="3" t="s">
        <v>1260</v>
      </c>
      <c r="K667" s="3" t="s">
        <v>1311</v>
      </c>
      <c r="L667" s="3" t="s">
        <v>1312</v>
      </c>
      <c r="M667" s="3" t="s">
        <v>1313</v>
      </c>
      <c r="N667" s="3" t="s">
        <v>1837</v>
      </c>
    </row>
    <row r="668" spans="1:14" x14ac:dyDescent="0.45">
      <c r="A668" s="3" t="s">
        <v>1161</v>
      </c>
      <c r="B668" s="3" t="s">
        <v>1815</v>
      </c>
      <c r="C668" s="3" t="s">
        <v>1785</v>
      </c>
      <c r="D668" s="3"/>
      <c r="E668" s="3" t="s">
        <v>1339</v>
      </c>
      <c r="F668" s="79">
        <v>508</v>
      </c>
      <c r="G668" s="3" t="s">
        <v>1221</v>
      </c>
      <c r="H668" s="3" t="s">
        <v>1833</v>
      </c>
      <c r="I668" s="3"/>
      <c r="J668" s="3" t="s">
        <v>1260</v>
      </c>
      <c r="K668" s="3" t="s">
        <v>1318</v>
      </c>
      <c r="L668" s="3" t="s">
        <v>1319</v>
      </c>
      <c r="M668" s="3" t="s">
        <v>1320</v>
      </c>
      <c r="N668" s="3" t="s">
        <v>1838</v>
      </c>
    </row>
    <row r="669" spans="1:14" x14ac:dyDescent="0.45">
      <c r="A669" s="3" t="s">
        <v>1161</v>
      </c>
      <c r="B669" s="3" t="s">
        <v>1815</v>
      </c>
      <c r="C669" s="3" t="s">
        <v>1787</v>
      </c>
      <c r="D669" s="3"/>
      <c r="E669" s="3" t="s">
        <v>1346</v>
      </c>
      <c r="F669" s="79">
        <v>500</v>
      </c>
      <c r="G669" s="3" t="s">
        <v>1221</v>
      </c>
      <c r="H669" s="3" t="s">
        <v>1833</v>
      </c>
      <c r="I669" s="3"/>
      <c r="J669" s="3" t="s">
        <v>1260</v>
      </c>
      <c r="K669" s="3" t="s">
        <v>1325</v>
      </c>
      <c r="L669" s="3" t="s">
        <v>1326</v>
      </c>
      <c r="M669" s="3" t="s">
        <v>1327</v>
      </c>
      <c r="N669" s="3" t="s">
        <v>1249</v>
      </c>
    </row>
    <row r="670" spans="1:14" x14ac:dyDescent="0.45">
      <c r="A670" s="3" t="s">
        <v>1161</v>
      </c>
      <c r="B670" s="3" t="s">
        <v>1815</v>
      </c>
      <c r="C670" s="3" t="s">
        <v>1789</v>
      </c>
      <c r="D670" s="3"/>
      <c r="E670" s="3" t="s">
        <v>1256</v>
      </c>
      <c r="F670" s="79">
        <v>638</v>
      </c>
      <c r="G670" s="3" t="s">
        <v>1221</v>
      </c>
      <c r="H670" s="3" t="s">
        <v>1833</v>
      </c>
      <c r="I670" s="3"/>
      <c r="J670" s="3" t="s">
        <v>1260</v>
      </c>
      <c r="K670" s="3" t="s">
        <v>1340</v>
      </c>
      <c r="L670" s="3" t="s">
        <v>1341</v>
      </c>
      <c r="M670" s="3" t="s">
        <v>1342</v>
      </c>
      <c r="N670" s="3" t="s">
        <v>1585</v>
      </c>
    </row>
    <row r="671" spans="1:14" x14ac:dyDescent="0.45">
      <c r="A671" s="3" t="s">
        <v>1161</v>
      </c>
      <c r="B671" s="3" t="s">
        <v>1815</v>
      </c>
      <c r="C671" s="3" t="s">
        <v>1791</v>
      </c>
      <c r="D671" s="3"/>
      <c r="E671" s="3" t="s">
        <v>1352</v>
      </c>
      <c r="F671" s="79">
        <v>672</v>
      </c>
      <c r="G671" s="3" t="s">
        <v>1221</v>
      </c>
      <c r="H671" s="3" t="s">
        <v>1833</v>
      </c>
      <c r="I671" s="3"/>
      <c r="J671" s="3" t="s">
        <v>1260</v>
      </c>
      <c r="K671" s="3" t="s">
        <v>1333</v>
      </c>
      <c r="L671" s="3" t="s">
        <v>1334</v>
      </c>
      <c r="M671" s="3" t="s">
        <v>1335</v>
      </c>
      <c r="N671" s="3" t="s">
        <v>1839</v>
      </c>
    </row>
    <row r="672" spans="1:14" x14ac:dyDescent="0.45">
      <c r="A672" s="3" t="s">
        <v>1161</v>
      </c>
      <c r="B672" s="3" t="s">
        <v>1815</v>
      </c>
      <c r="C672" s="3" t="s">
        <v>1793</v>
      </c>
      <c r="D672" s="3"/>
      <c r="E672" s="3" t="s">
        <v>1356</v>
      </c>
      <c r="F672" s="79">
        <v>698</v>
      </c>
      <c r="G672" s="3" t="s">
        <v>1221</v>
      </c>
      <c r="H672" s="3" t="s">
        <v>1833</v>
      </c>
      <c r="I672" s="3"/>
      <c r="J672" s="3" t="s">
        <v>1260</v>
      </c>
      <c r="K672" s="3" t="s">
        <v>1340</v>
      </c>
      <c r="L672" s="3" t="s">
        <v>1341</v>
      </c>
      <c r="M672" s="3" t="s">
        <v>1342</v>
      </c>
      <c r="N672" s="3" t="s">
        <v>1840</v>
      </c>
    </row>
    <row r="673" spans="1:14" x14ac:dyDescent="0.45">
      <c r="A673" s="3" t="s">
        <v>525</v>
      </c>
      <c r="B673" s="3" t="s">
        <v>526</v>
      </c>
      <c r="C673" s="3" t="s">
        <v>1755</v>
      </c>
      <c r="D673" s="3"/>
      <c r="E673" s="3" t="s">
        <v>1220</v>
      </c>
      <c r="F673" s="79">
        <v>33</v>
      </c>
      <c r="G673" s="3" t="s">
        <v>1221</v>
      </c>
      <c r="H673" s="3" t="s">
        <v>1841</v>
      </c>
      <c r="I673" s="3"/>
      <c r="J673" s="3" t="s">
        <v>1224</v>
      </c>
      <c r="K673" s="3" t="s">
        <v>1817</v>
      </c>
      <c r="L673" s="3" t="s">
        <v>1818</v>
      </c>
      <c r="M673" s="3" t="s">
        <v>1819</v>
      </c>
      <c r="N673" s="3" t="s">
        <v>1705</v>
      </c>
    </row>
    <row r="674" spans="1:14" x14ac:dyDescent="0.45">
      <c r="A674" s="3" t="s">
        <v>525</v>
      </c>
      <c r="B674" s="3" t="s">
        <v>526</v>
      </c>
      <c r="C674" s="3" t="s">
        <v>1757</v>
      </c>
      <c r="D674" s="3"/>
      <c r="E674" s="3" t="s">
        <v>1231</v>
      </c>
      <c r="F674" s="79">
        <v>55</v>
      </c>
      <c r="G674" s="3" t="s">
        <v>1221</v>
      </c>
      <c r="H674" s="3" t="s">
        <v>1841</v>
      </c>
      <c r="I674" s="3"/>
      <c r="J674" s="3" t="s">
        <v>1224</v>
      </c>
      <c r="K674" s="3" t="s">
        <v>1225</v>
      </c>
      <c r="L674" s="3" t="s">
        <v>1226</v>
      </c>
      <c r="M674" s="3" t="s">
        <v>1227</v>
      </c>
      <c r="N674" s="3" t="s">
        <v>1842</v>
      </c>
    </row>
    <row r="675" spans="1:14" x14ac:dyDescent="0.45">
      <c r="A675" s="3" t="s">
        <v>525</v>
      </c>
      <c r="B675" s="3" t="s">
        <v>526</v>
      </c>
      <c r="C675" s="3" t="s">
        <v>1759</v>
      </c>
      <c r="D675" s="3"/>
      <c r="E675" s="3" t="s">
        <v>1266</v>
      </c>
      <c r="F675" s="79">
        <v>56</v>
      </c>
      <c r="G675" s="3" t="s">
        <v>1221</v>
      </c>
      <c r="H675" s="3" t="s">
        <v>1841</v>
      </c>
      <c r="I675" s="3"/>
      <c r="J675" s="3" t="s">
        <v>1260</v>
      </c>
      <c r="K675" s="3" t="s">
        <v>1821</v>
      </c>
      <c r="L675" s="3" t="s">
        <v>1822</v>
      </c>
      <c r="M675" s="3" t="s">
        <v>1823</v>
      </c>
      <c r="N675" s="3" t="s">
        <v>1426</v>
      </c>
    </row>
    <row r="676" spans="1:14" x14ac:dyDescent="0.45">
      <c r="A676" s="3" t="s">
        <v>525</v>
      </c>
      <c r="B676" s="3" t="s">
        <v>526</v>
      </c>
      <c r="C676" s="3" t="s">
        <v>1761</v>
      </c>
      <c r="D676" s="3"/>
      <c r="E676" s="3" t="s">
        <v>1273</v>
      </c>
      <c r="F676" s="79">
        <v>68</v>
      </c>
      <c r="G676" s="3" t="s">
        <v>1221</v>
      </c>
      <c r="H676" s="3" t="s">
        <v>1841</v>
      </c>
      <c r="I676" s="3"/>
      <c r="J676" s="3" t="s">
        <v>1260</v>
      </c>
      <c r="K676" s="3" t="s">
        <v>1825</v>
      </c>
      <c r="L676" s="3" t="s">
        <v>1826</v>
      </c>
      <c r="M676" s="3" t="s">
        <v>1827</v>
      </c>
      <c r="N676" s="3" t="s">
        <v>1558</v>
      </c>
    </row>
    <row r="677" spans="1:14" x14ac:dyDescent="0.45">
      <c r="A677" s="3" t="s">
        <v>525</v>
      </c>
      <c r="B677" s="3" t="s">
        <v>526</v>
      </c>
      <c r="C677" s="3" t="s">
        <v>1763</v>
      </c>
      <c r="D677" s="3"/>
      <c r="E677" s="3" t="s">
        <v>1280</v>
      </c>
      <c r="F677" s="79">
        <v>78</v>
      </c>
      <c r="G677" s="3" t="s">
        <v>1221</v>
      </c>
      <c r="H677" s="3" t="s">
        <v>1841</v>
      </c>
      <c r="I677" s="3"/>
      <c r="J677" s="3" t="s">
        <v>1260</v>
      </c>
      <c r="K677" s="3" t="s">
        <v>1261</v>
      </c>
      <c r="L677" s="3" t="s">
        <v>1262</v>
      </c>
      <c r="M677" s="3" t="s">
        <v>1263</v>
      </c>
      <c r="N677" s="3" t="s">
        <v>1559</v>
      </c>
    </row>
    <row r="678" spans="1:14" x14ac:dyDescent="0.45">
      <c r="A678" s="3" t="s">
        <v>525</v>
      </c>
      <c r="B678" s="3" t="s">
        <v>526</v>
      </c>
      <c r="C678" s="3" t="s">
        <v>1765</v>
      </c>
      <c r="D678" s="3"/>
      <c r="E678" s="3" t="s">
        <v>1238</v>
      </c>
      <c r="F678" s="79">
        <v>77</v>
      </c>
      <c r="G678" s="3" t="s">
        <v>1221</v>
      </c>
      <c r="H678" s="3" t="s">
        <v>1841</v>
      </c>
      <c r="I678" s="3"/>
      <c r="J678" s="3" t="s">
        <v>1224</v>
      </c>
      <c r="K678" s="3" t="s">
        <v>1232</v>
      </c>
      <c r="L678" s="3" t="s">
        <v>1233</v>
      </c>
      <c r="M678" s="3" t="s">
        <v>1234</v>
      </c>
      <c r="N678" s="3" t="s">
        <v>1520</v>
      </c>
    </row>
    <row r="679" spans="1:14" x14ac:dyDescent="0.45">
      <c r="A679" s="3" t="s">
        <v>525</v>
      </c>
      <c r="B679" s="3" t="s">
        <v>526</v>
      </c>
      <c r="C679" s="3" t="s">
        <v>1767</v>
      </c>
      <c r="D679" s="3"/>
      <c r="E679" s="3" t="s">
        <v>1288</v>
      </c>
      <c r="F679" s="79">
        <v>97</v>
      </c>
      <c r="G679" s="3" t="s">
        <v>1221</v>
      </c>
      <c r="H679" s="3" t="s">
        <v>1841</v>
      </c>
      <c r="I679" s="3"/>
      <c r="J679" s="3" t="s">
        <v>1260</v>
      </c>
      <c r="K679" s="3" t="s">
        <v>1267</v>
      </c>
      <c r="L679" s="3" t="s">
        <v>1268</v>
      </c>
      <c r="M679" s="3" t="s">
        <v>1269</v>
      </c>
      <c r="N679" s="3" t="s">
        <v>1550</v>
      </c>
    </row>
    <row r="680" spans="1:14" x14ac:dyDescent="0.45">
      <c r="A680" s="3" t="s">
        <v>525</v>
      </c>
      <c r="B680" s="3" t="s">
        <v>526</v>
      </c>
      <c r="C680" s="3" t="s">
        <v>1769</v>
      </c>
      <c r="D680" s="3"/>
      <c r="E680" s="3" t="s">
        <v>1295</v>
      </c>
      <c r="F680" s="79">
        <v>115</v>
      </c>
      <c r="G680" s="3" t="s">
        <v>1221</v>
      </c>
      <c r="H680" s="3" t="s">
        <v>1841</v>
      </c>
      <c r="I680" s="3"/>
      <c r="J680" s="3" t="s">
        <v>1260</v>
      </c>
      <c r="K680" s="3" t="s">
        <v>1274</v>
      </c>
      <c r="L680" s="3" t="s">
        <v>1275</v>
      </c>
      <c r="M680" s="3" t="s">
        <v>1276</v>
      </c>
      <c r="N680" s="3" t="s">
        <v>1264</v>
      </c>
    </row>
    <row r="681" spans="1:14" x14ac:dyDescent="0.45">
      <c r="A681" s="3" t="s">
        <v>525</v>
      </c>
      <c r="B681" s="3" t="s">
        <v>526</v>
      </c>
      <c r="C681" s="3" t="s">
        <v>1771</v>
      </c>
      <c r="D681" s="3"/>
      <c r="E681" s="3" t="s">
        <v>1302</v>
      </c>
      <c r="F681" s="79">
        <v>95</v>
      </c>
      <c r="G681" s="3" t="s">
        <v>1221</v>
      </c>
      <c r="H681" s="3" t="s">
        <v>1841</v>
      </c>
      <c r="I681" s="3"/>
      <c r="J681" s="3" t="s">
        <v>1260</v>
      </c>
      <c r="K681" s="3" t="s">
        <v>1281</v>
      </c>
      <c r="L681" s="3" t="s">
        <v>1282</v>
      </c>
      <c r="M681" s="3" t="s">
        <v>1283</v>
      </c>
      <c r="N681" s="3" t="s">
        <v>1693</v>
      </c>
    </row>
    <row r="682" spans="1:14" x14ac:dyDescent="0.45">
      <c r="A682" s="3" t="s">
        <v>525</v>
      </c>
      <c r="B682" s="3" t="s">
        <v>526</v>
      </c>
      <c r="C682" s="3" t="s">
        <v>1773</v>
      </c>
      <c r="D682" s="3"/>
      <c r="E682" s="3" t="s">
        <v>1245</v>
      </c>
      <c r="F682" s="79">
        <v>69</v>
      </c>
      <c r="G682" s="3" t="s">
        <v>1221</v>
      </c>
      <c r="H682" s="3" t="s">
        <v>1841</v>
      </c>
      <c r="I682" s="3"/>
      <c r="J682" s="3" t="s">
        <v>1224</v>
      </c>
      <c r="K682" s="3" t="s">
        <v>1239</v>
      </c>
      <c r="L682" s="3" t="s">
        <v>1240</v>
      </c>
      <c r="M682" s="3" t="s">
        <v>1241</v>
      </c>
      <c r="N682" s="3" t="s">
        <v>1843</v>
      </c>
    </row>
    <row r="683" spans="1:14" x14ac:dyDescent="0.45">
      <c r="A683" s="3" t="s">
        <v>525</v>
      </c>
      <c r="B683" s="3" t="s">
        <v>526</v>
      </c>
      <c r="C683" s="3" t="s">
        <v>1775</v>
      </c>
      <c r="D683" s="3"/>
      <c r="E683" s="3" t="s">
        <v>1310</v>
      </c>
      <c r="F683" s="79">
        <v>86</v>
      </c>
      <c r="G683" s="3" t="s">
        <v>1221</v>
      </c>
      <c r="H683" s="3" t="s">
        <v>1841</v>
      </c>
      <c r="I683" s="3"/>
      <c r="J683" s="3" t="s">
        <v>1260</v>
      </c>
      <c r="K683" s="3" t="s">
        <v>1289</v>
      </c>
      <c r="L683" s="3" t="s">
        <v>1290</v>
      </c>
      <c r="M683" s="3" t="s">
        <v>1291</v>
      </c>
      <c r="N683" s="3" t="s">
        <v>1689</v>
      </c>
    </row>
    <row r="684" spans="1:14" x14ac:dyDescent="0.45">
      <c r="A684" s="3" t="s">
        <v>525</v>
      </c>
      <c r="B684" s="3" t="s">
        <v>526</v>
      </c>
      <c r="C684" s="3" t="s">
        <v>1777</v>
      </c>
      <c r="D684" s="3"/>
      <c r="E684" s="3" t="s">
        <v>1317</v>
      </c>
      <c r="F684" s="79">
        <v>101</v>
      </c>
      <c r="G684" s="3" t="s">
        <v>1221</v>
      </c>
      <c r="H684" s="3" t="s">
        <v>1841</v>
      </c>
      <c r="I684" s="3"/>
      <c r="J684" s="3" t="s">
        <v>1260</v>
      </c>
      <c r="K684" s="3" t="s">
        <v>1296</v>
      </c>
      <c r="L684" s="3" t="s">
        <v>1297</v>
      </c>
      <c r="M684" s="3" t="s">
        <v>1298</v>
      </c>
      <c r="N684" s="3" t="s">
        <v>1228</v>
      </c>
    </row>
    <row r="685" spans="1:14" x14ac:dyDescent="0.45">
      <c r="A685" s="3" t="s">
        <v>525</v>
      </c>
      <c r="B685" s="3" t="s">
        <v>526</v>
      </c>
      <c r="C685" s="3" t="s">
        <v>1779</v>
      </c>
      <c r="D685" s="3"/>
      <c r="E685" s="3" t="s">
        <v>1324</v>
      </c>
      <c r="F685" s="79">
        <v>105</v>
      </c>
      <c r="G685" s="3" t="s">
        <v>1221</v>
      </c>
      <c r="H685" s="3" t="s">
        <v>1841</v>
      </c>
      <c r="I685" s="3"/>
      <c r="J685" s="3" t="s">
        <v>1260</v>
      </c>
      <c r="K685" s="3" t="s">
        <v>1303</v>
      </c>
      <c r="L685" s="3" t="s">
        <v>1304</v>
      </c>
      <c r="M685" s="3" t="s">
        <v>1305</v>
      </c>
      <c r="N685" s="3" t="s">
        <v>1669</v>
      </c>
    </row>
    <row r="686" spans="1:14" x14ac:dyDescent="0.45">
      <c r="A686" s="3" t="s">
        <v>525</v>
      </c>
      <c r="B686" s="3" t="s">
        <v>526</v>
      </c>
      <c r="C686" s="3" t="s">
        <v>1781</v>
      </c>
      <c r="D686" s="3"/>
      <c r="E686" s="3" t="s">
        <v>1252</v>
      </c>
      <c r="F686" s="79">
        <v>115</v>
      </c>
      <c r="G686" s="3" t="s">
        <v>1221</v>
      </c>
      <c r="H686" s="3" t="s">
        <v>1841</v>
      </c>
      <c r="I686" s="3"/>
      <c r="J686" s="3" t="s">
        <v>1224</v>
      </c>
      <c r="K686" s="3" t="s">
        <v>1246</v>
      </c>
      <c r="L686" s="3" t="s">
        <v>1247</v>
      </c>
      <c r="M686" s="3" t="s">
        <v>1248</v>
      </c>
      <c r="N686" s="3" t="s">
        <v>1264</v>
      </c>
    </row>
    <row r="687" spans="1:14" x14ac:dyDescent="0.45">
      <c r="A687" s="3" t="s">
        <v>525</v>
      </c>
      <c r="B687" s="3" t="s">
        <v>526</v>
      </c>
      <c r="C687" s="3" t="s">
        <v>1783</v>
      </c>
      <c r="D687" s="3"/>
      <c r="E687" s="3" t="s">
        <v>1332</v>
      </c>
      <c r="F687" s="79">
        <v>118</v>
      </c>
      <c r="G687" s="3" t="s">
        <v>1221</v>
      </c>
      <c r="H687" s="3" t="s">
        <v>1841</v>
      </c>
      <c r="I687" s="3"/>
      <c r="J687" s="3" t="s">
        <v>1260</v>
      </c>
      <c r="K687" s="3" t="s">
        <v>1311</v>
      </c>
      <c r="L687" s="3" t="s">
        <v>1312</v>
      </c>
      <c r="M687" s="3" t="s">
        <v>1313</v>
      </c>
      <c r="N687" s="3" t="s">
        <v>1423</v>
      </c>
    </row>
    <row r="688" spans="1:14" x14ac:dyDescent="0.45">
      <c r="A688" s="3" t="s">
        <v>525</v>
      </c>
      <c r="B688" s="3" t="s">
        <v>526</v>
      </c>
      <c r="C688" s="3" t="s">
        <v>1785</v>
      </c>
      <c r="D688" s="3"/>
      <c r="E688" s="3" t="s">
        <v>1339</v>
      </c>
      <c r="F688" s="79">
        <v>121</v>
      </c>
      <c r="G688" s="3" t="s">
        <v>1221</v>
      </c>
      <c r="H688" s="3" t="s">
        <v>1841</v>
      </c>
      <c r="I688" s="3"/>
      <c r="J688" s="3" t="s">
        <v>1260</v>
      </c>
      <c r="K688" s="3" t="s">
        <v>1318</v>
      </c>
      <c r="L688" s="3" t="s">
        <v>1319</v>
      </c>
      <c r="M688" s="3" t="s">
        <v>1320</v>
      </c>
      <c r="N688" s="3" t="s">
        <v>1299</v>
      </c>
    </row>
    <row r="689" spans="1:14" x14ac:dyDescent="0.45">
      <c r="A689" s="3" t="s">
        <v>525</v>
      </c>
      <c r="B689" s="3" t="s">
        <v>526</v>
      </c>
      <c r="C689" s="3" t="s">
        <v>1787</v>
      </c>
      <c r="D689" s="3"/>
      <c r="E689" s="3" t="s">
        <v>1346</v>
      </c>
      <c r="F689" s="79">
        <v>121</v>
      </c>
      <c r="G689" s="3" t="s">
        <v>1221</v>
      </c>
      <c r="H689" s="3" t="s">
        <v>1841</v>
      </c>
      <c r="I689" s="3"/>
      <c r="J689" s="3" t="s">
        <v>1260</v>
      </c>
      <c r="K689" s="3" t="s">
        <v>1325</v>
      </c>
      <c r="L689" s="3" t="s">
        <v>1326</v>
      </c>
      <c r="M689" s="3" t="s">
        <v>1327</v>
      </c>
      <c r="N689" s="3" t="s">
        <v>1299</v>
      </c>
    </row>
    <row r="690" spans="1:14" x14ac:dyDescent="0.45">
      <c r="A690" s="3" t="s">
        <v>525</v>
      </c>
      <c r="B690" s="3" t="s">
        <v>526</v>
      </c>
      <c r="C690" s="3" t="s">
        <v>1789</v>
      </c>
      <c r="D690" s="3"/>
      <c r="E690" s="3" t="s">
        <v>1256</v>
      </c>
      <c r="F690" s="79">
        <v>127</v>
      </c>
      <c r="G690" s="3" t="s">
        <v>1221</v>
      </c>
      <c r="H690" s="3" t="s">
        <v>1841</v>
      </c>
      <c r="I690" s="3"/>
      <c r="J690" s="3" t="s">
        <v>1260</v>
      </c>
      <c r="K690" s="3" t="s">
        <v>1340</v>
      </c>
      <c r="L690" s="3" t="s">
        <v>1341</v>
      </c>
      <c r="M690" s="3" t="s">
        <v>1342</v>
      </c>
      <c r="N690" s="3" t="s">
        <v>1844</v>
      </c>
    </row>
    <row r="691" spans="1:14" x14ac:dyDescent="0.45">
      <c r="A691" s="3" t="s">
        <v>525</v>
      </c>
      <c r="B691" s="3" t="s">
        <v>526</v>
      </c>
      <c r="C691" s="3" t="s">
        <v>1791</v>
      </c>
      <c r="D691" s="3"/>
      <c r="E691" s="3" t="s">
        <v>1352</v>
      </c>
      <c r="F691" s="79">
        <v>138</v>
      </c>
      <c r="G691" s="3" t="s">
        <v>1221</v>
      </c>
      <c r="H691" s="3" t="s">
        <v>1841</v>
      </c>
      <c r="I691" s="3"/>
      <c r="J691" s="3" t="s">
        <v>1260</v>
      </c>
      <c r="K691" s="3" t="s">
        <v>1333</v>
      </c>
      <c r="L691" s="3" t="s">
        <v>1334</v>
      </c>
      <c r="M691" s="3" t="s">
        <v>1335</v>
      </c>
      <c r="N691" s="3" t="s">
        <v>1512</v>
      </c>
    </row>
    <row r="692" spans="1:14" x14ac:dyDescent="0.45">
      <c r="A692" s="3" t="s">
        <v>525</v>
      </c>
      <c r="B692" s="3" t="s">
        <v>526</v>
      </c>
      <c r="C692" s="3" t="s">
        <v>1793</v>
      </c>
      <c r="D692" s="3"/>
      <c r="E692" s="3" t="s">
        <v>1356</v>
      </c>
      <c r="F692" s="79">
        <v>142</v>
      </c>
      <c r="G692" s="3" t="s">
        <v>1221</v>
      </c>
      <c r="H692" s="3" t="s">
        <v>1841</v>
      </c>
      <c r="I692" s="3"/>
      <c r="J692" s="3" t="s">
        <v>1260</v>
      </c>
      <c r="K692" s="3" t="s">
        <v>1340</v>
      </c>
      <c r="L692" s="3" t="s">
        <v>1341</v>
      </c>
      <c r="M692" s="3" t="s">
        <v>1342</v>
      </c>
      <c r="N692" s="3" t="s">
        <v>1845</v>
      </c>
    </row>
    <row r="693" spans="1:14" x14ac:dyDescent="0.45">
      <c r="A693" s="3" t="s">
        <v>527</v>
      </c>
      <c r="B693" s="3" t="s">
        <v>528</v>
      </c>
      <c r="C693" s="3" t="s">
        <v>1755</v>
      </c>
      <c r="D693" s="3"/>
      <c r="E693" s="3" t="s">
        <v>1220</v>
      </c>
      <c r="F693" s="79">
        <v>19</v>
      </c>
      <c r="G693" s="3" t="s">
        <v>1221</v>
      </c>
      <c r="H693" s="3" t="s">
        <v>1846</v>
      </c>
      <c r="I693" s="3"/>
      <c r="J693" s="3" t="s">
        <v>1224</v>
      </c>
      <c r="K693" s="3" t="s">
        <v>1817</v>
      </c>
      <c r="L693" s="3" t="s">
        <v>1818</v>
      </c>
      <c r="M693" s="3" t="s">
        <v>1819</v>
      </c>
      <c r="N693" s="3" t="s">
        <v>1661</v>
      </c>
    </row>
    <row r="694" spans="1:14" x14ac:dyDescent="0.45">
      <c r="A694" s="3" t="s">
        <v>527</v>
      </c>
      <c r="B694" s="3" t="s">
        <v>528</v>
      </c>
      <c r="C694" s="3" t="s">
        <v>1757</v>
      </c>
      <c r="D694" s="3"/>
      <c r="E694" s="3" t="s">
        <v>1231</v>
      </c>
      <c r="F694" s="79">
        <v>42</v>
      </c>
      <c r="G694" s="3" t="s">
        <v>1221</v>
      </c>
      <c r="H694" s="3" t="s">
        <v>1846</v>
      </c>
      <c r="I694" s="3"/>
      <c r="J694" s="3" t="s">
        <v>1224</v>
      </c>
      <c r="K694" s="3" t="s">
        <v>1225</v>
      </c>
      <c r="L694" s="3" t="s">
        <v>1226</v>
      </c>
      <c r="M694" s="3" t="s">
        <v>1227</v>
      </c>
      <c r="N694" s="3" t="s">
        <v>1623</v>
      </c>
    </row>
    <row r="695" spans="1:14" x14ac:dyDescent="0.45">
      <c r="A695" s="3" t="s">
        <v>527</v>
      </c>
      <c r="B695" s="3" t="s">
        <v>528</v>
      </c>
      <c r="C695" s="3" t="s">
        <v>1759</v>
      </c>
      <c r="D695" s="3"/>
      <c r="E695" s="3" t="s">
        <v>1266</v>
      </c>
      <c r="F695" s="79">
        <v>44</v>
      </c>
      <c r="G695" s="3" t="s">
        <v>1221</v>
      </c>
      <c r="H695" s="3" t="s">
        <v>1846</v>
      </c>
      <c r="I695" s="3"/>
      <c r="J695" s="3" t="s">
        <v>1260</v>
      </c>
      <c r="K695" s="3" t="s">
        <v>1821</v>
      </c>
      <c r="L695" s="3" t="s">
        <v>1822</v>
      </c>
      <c r="M695" s="3" t="s">
        <v>1823</v>
      </c>
      <c r="N695" s="3" t="s">
        <v>1847</v>
      </c>
    </row>
    <row r="696" spans="1:14" x14ac:dyDescent="0.45">
      <c r="A696" s="3" t="s">
        <v>527</v>
      </c>
      <c r="B696" s="3" t="s">
        <v>528</v>
      </c>
      <c r="C696" s="3" t="s">
        <v>1761</v>
      </c>
      <c r="D696" s="3"/>
      <c r="E696" s="3" t="s">
        <v>1273</v>
      </c>
      <c r="F696" s="79">
        <v>62</v>
      </c>
      <c r="G696" s="3" t="s">
        <v>1221</v>
      </c>
      <c r="H696" s="3" t="s">
        <v>1846</v>
      </c>
      <c r="I696" s="3"/>
      <c r="J696" s="3" t="s">
        <v>1260</v>
      </c>
      <c r="K696" s="3" t="s">
        <v>1825</v>
      </c>
      <c r="L696" s="3" t="s">
        <v>1826</v>
      </c>
      <c r="M696" s="3" t="s">
        <v>1827</v>
      </c>
      <c r="N696" s="3" t="s">
        <v>1539</v>
      </c>
    </row>
    <row r="697" spans="1:14" x14ac:dyDescent="0.45">
      <c r="A697" s="3" t="s">
        <v>527</v>
      </c>
      <c r="B697" s="3" t="s">
        <v>528</v>
      </c>
      <c r="C697" s="3" t="s">
        <v>1763</v>
      </c>
      <c r="D697" s="3"/>
      <c r="E697" s="3" t="s">
        <v>1280</v>
      </c>
      <c r="F697" s="79">
        <v>95</v>
      </c>
      <c r="G697" s="3" t="s">
        <v>1221</v>
      </c>
      <c r="H697" s="3" t="s">
        <v>1846</v>
      </c>
      <c r="I697" s="3"/>
      <c r="J697" s="3" t="s">
        <v>1260</v>
      </c>
      <c r="K697" s="3" t="s">
        <v>1261</v>
      </c>
      <c r="L697" s="3" t="s">
        <v>1262</v>
      </c>
      <c r="M697" s="3" t="s">
        <v>1263</v>
      </c>
      <c r="N697" s="3" t="s">
        <v>1693</v>
      </c>
    </row>
    <row r="698" spans="1:14" x14ac:dyDescent="0.45">
      <c r="A698" s="3" t="s">
        <v>527</v>
      </c>
      <c r="B698" s="3" t="s">
        <v>528</v>
      </c>
      <c r="C698" s="3" t="s">
        <v>1765</v>
      </c>
      <c r="D698" s="3"/>
      <c r="E698" s="3" t="s">
        <v>1238</v>
      </c>
      <c r="F698" s="79">
        <v>110</v>
      </c>
      <c r="G698" s="3" t="s">
        <v>1221</v>
      </c>
      <c r="H698" s="3" t="s">
        <v>1846</v>
      </c>
      <c r="I698" s="3"/>
      <c r="J698" s="3" t="s">
        <v>1224</v>
      </c>
      <c r="K698" s="3" t="s">
        <v>1232</v>
      </c>
      <c r="L698" s="3" t="s">
        <v>1233</v>
      </c>
      <c r="M698" s="3" t="s">
        <v>1234</v>
      </c>
      <c r="N698" s="3" t="s">
        <v>1556</v>
      </c>
    </row>
    <row r="699" spans="1:14" x14ac:dyDescent="0.45">
      <c r="A699" s="3" t="s">
        <v>527</v>
      </c>
      <c r="B699" s="3" t="s">
        <v>528</v>
      </c>
      <c r="C699" s="3" t="s">
        <v>1767</v>
      </c>
      <c r="D699" s="3"/>
      <c r="E699" s="3" t="s">
        <v>1288</v>
      </c>
      <c r="F699" s="79">
        <v>112</v>
      </c>
      <c r="G699" s="3" t="s">
        <v>1221</v>
      </c>
      <c r="H699" s="3" t="s">
        <v>1846</v>
      </c>
      <c r="I699" s="3"/>
      <c r="J699" s="3" t="s">
        <v>1260</v>
      </c>
      <c r="K699" s="3" t="s">
        <v>1267</v>
      </c>
      <c r="L699" s="3" t="s">
        <v>1268</v>
      </c>
      <c r="M699" s="3" t="s">
        <v>1269</v>
      </c>
      <c r="N699" s="3" t="s">
        <v>1412</v>
      </c>
    </row>
    <row r="700" spans="1:14" x14ac:dyDescent="0.45">
      <c r="A700" s="3" t="s">
        <v>527</v>
      </c>
      <c r="B700" s="3" t="s">
        <v>528</v>
      </c>
      <c r="C700" s="3" t="s">
        <v>1769</v>
      </c>
      <c r="D700" s="3"/>
      <c r="E700" s="3" t="s">
        <v>1295</v>
      </c>
      <c r="F700" s="79">
        <v>107</v>
      </c>
      <c r="G700" s="3" t="s">
        <v>1221</v>
      </c>
      <c r="H700" s="3" t="s">
        <v>1846</v>
      </c>
      <c r="I700" s="3"/>
      <c r="J700" s="3" t="s">
        <v>1260</v>
      </c>
      <c r="K700" s="3" t="s">
        <v>1274</v>
      </c>
      <c r="L700" s="3" t="s">
        <v>1275</v>
      </c>
      <c r="M700" s="3" t="s">
        <v>1276</v>
      </c>
      <c r="N700" s="3" t="s">
        <v>1292</v>
      </c>
    </row>
    <row r="701" spans="1:14" x14ac:dyDescent="0.45">
      <c r="A701" s="3" t="s">
        <v>527</v>
      </c>
      <c r="B701" s="3" t="s">
        <v>528</v>
      </c>
      <c r="C701" s="3" t="s">
        <v>1771</v>
      </c>
      <c r="D701" s="3"/>
      <c r="E701" s="3" t="s">
        <v>1302</v>
      </c>
      <c r="F701" s="79">
        <v>98</v>
      </c>
      <c r="G701" s="3" t="s">
        <v>1221</v>
      </c>
      <c r="H701" s="3" t="s">
        <v>1846</v>
      </c>
      <c r="I701" s="3"/>
      <c r="J701" s="3" t="s">
        <v>1260</v>
      </c>
      <c r="K701" s="3" t="s">
        <v>1281</v>
      </c>
      <c r="L701" s="3" t="s">
        <v>1282</v>
      </c>
      <c r="M701" s="3" t="s">
        <v>1283</v>
      </c>
      <c r="N701" s="3" t="s">
        <v>1562</v>
      </c>
    </row>
    <row r="702" spans="1:14" x14ac:dyDescent="0.45">
      <c r="A702" s="3" t="s">
        <v>527</v>
      </c>
      <c r="B702" s="3" t="s">
        <v>528</v>
      </c>
      <c r="C702" s="3" t="s">
        <v>1773</v>
      </c>
      <c r="D702" s="3"/>
      <c r="E702" s="3" t="s">
        <v>1245</v>
      </c>
      <c r="F702" s="79">
        <v>118</v>
      </c>
      <c r="G702" s="3" t="s">
        <v>1221</v>
      </c>
      <c r="H702" s="3" t="s">
        <v>1846</v>
      </c>
      <c r="I702" s="3"/>
      <c r="J702" s="3" t="s">
        <v>1224</v>
      </c>
      <c r="K702" s="3" t="s">
        <v>1239</v>
      </c>
      <c r="L702" s="3" t="s">
        <v>1240</v>
      </c>
      <c r="M702" s="3" t="s">
        <v>1241</v>
      </c>
      <c r="N702" s="3" t="s">
        <v>1423</v>
      </c>
    </row>
    <row r="703" spans="1:14" x14ac:dyDescent="0.45">
      <c r="A703" s="3" t="s">
        <v>527</v>
      </c>
      <c r="B703" s="3" t="s">
        <v>528</v>
      </c>
      <c r="C703" s="3" t="s">
        <v>1775</v>
      </c>
      <c r="D703" s="3"/>
      <c r="E703" s="3" t="s">
        <v>1310</v>
      </c>
      <c r="F703" s="79">
        <v>120</v>
      </c>
      <c r="G703" s="3" t="s">
        <v>1221</v>
      </c>
      <c r="H703" s="3" t="s">
        <v>1846</v>
      </c>
      <c r="I703" s="3"/>
      <c r="J703" s="3" t="s">
        <v>1260</v>
      </c>
      <c r="K703" s="3" t="s">
        <v>1289</v>
      </c>
      <c r="L703" s="3" t="s">
        <v>1290</v>
      </c>
      <c r="M703" s="3" t="s">
        <v>1291</v>
      </c>
      <c r="N703" s="3" t="s">
        <v>1698</v>
      </c>
    </row>
    <row r="704" spans="1:14" x14ac:dyDescent="0.45">
      <c r="A704" s="3" t="s">
        <v>527</v>
      </c>
      <c r="B704" s="3" t="s">
        <v>528</v>
      </c>
      <c r="C704" s="3" t="s">
        <v>1777</v>
      </c>
      <c r="D704" s="3"/>
      <c r="E704" s="3" t="s">
        <v>1317</v>
      </c>
      <c r="F704" s="79">
        <v>110</v>
      </c>
      <c r="G704" s="3" t="s">
        <v>1221</v>
      </c>
      <c r="H704" s="3" t="s">
        <v>1846</v>
      </c>
      <c r="I704" s="3"/>
      <c r="J704" s="3" t="s">
        <v>1260</v>
      </c>
      <c r="K704" s="3" t="s">
        <v>1296</v>
      </c>
      <c r="L704" s="3" t="s">
        <v>1297</v>
      </c>
      <c r="M704" s="3" t="s">
        <v>1298</v>
      </c>
      <c r="N704" s="3" t="s">
        <v>1556</v>
      </c>
    </row>
    <row r="705" spans="1:14" x14ac:dyDescent="0.45">
      <c r="A705" s="3" t="s">
        <v>527</v>
      </c>
      <c r="B705" s="3" t="s">
        <v>528</v>
      </c>
      <c r="C705" s="3" t="s">
        <v>1779</v>
      </c>
      <c r="D705" s="3"/>
      <c r="E705" s="3" t="s">
        <v>1324</v>
      </c>
      <c r="F705" s="79">
        <v>106</v>
      </c>
      <c r="G705" s="3" t="s">
        <v>1221</v>
      </c>
      <c r="H705" s="3" t="s">
        <v>1846</v>
      </c>
      <c r="I705" s="3"/>
      <c r="J705" s="3" t="s">
        <v>1260</v>
      </c>
      <c r="K705" s="3" t="s">
        <v>1303</v>
      </c>
      <c r="L705" s="3" t="s">
        <v>1304</v>
      </c>
      <c r="M705" s="3" t="s">
        <v>1305</v>
      </c>
      <c r="N705" s="3" t="s">
        <v>1848</v>
      </c>
    </row>
    <row r="706" spans="1:14" x14ac:dyDescent="0.45">
      <c r="A706" s="3" t="s">
        <v>527</v>
      </c>
      <c r="B706" s="3" t="s">
        <v>528</v>
      </c>
      <c r="C706" s="3" t="s">
        <v>1781</v>
      </c>
      <c r="D706" s="3"/>
      <c r="E706" s="3" t="s">
        <v>1252</v>
      </c>
      <c r="F706" s="79">
        <v>118</v>
      </c>
      <c r="G706" s="3" t="s">
        <v>1221</v>
      </c>
      <c r="H706" s="3" t="s">
        <v>1846</v>
      </c>
      <c r="I706" s="3"/>
      <c r="J706" s="3" t="s">
        <v>1224</v>
      </c>
      <c r="K706" s="3" t="s">
        <v>1246</v>
      </c>
      <c r="L706" s="3" t="s">
        <v>1247</v>
      </c>
      <c r="M706" s="3" t="s">
        <v>1248</v>
      </c>
      <c r="N706" s="3" t="s">
        <v>1423</v>
      </c>
    </row>
    <row r="707" spans="1:14" x14ac:dyDescent="0.45">
      <c r="A707" s="3" t="s">
        <v>527</v>
      </c>
      <c r="B707" s="3" t="s">
        <v>528</v>
      </c>
      <c r="C707" s="3" t="s">
        <v>1783</v>
      </c>
      <c r="D707" s="3"/>
      <c r="E707" s="3" t="s">
        <v>1332</v>
      </c>
      <c r="F707" s="79">
        <v>111</v>
      </c>
      <c r="G707" s="3" t="s">
        <v>1221</v>
      </c>
      <c r="H707" s="3" t="s">
        <v>1846</v>
      </c>
      <c r="I707" s="3"/>
      <c r="J707" s="3" t="s">
        <v>1260</v>
      </c>
      <c r="K707" s="3" t="s">
        <v>1311</v>
      </c>
      <c r="L707" s="3" t="s">
        <v>1312</v>
      </c>
      <c r="M707" s="3" t="s">
        <v>1313</v>
      </c>
      <c r="N707" s="3" t="s">
        <v>1849</v>
      </c>
    </row>
    <row r="708" spans="1:14" x14ac:dyDescent="0.45">
      <c r="A708" s="3" t="s">
        <v>527</v>
      </c>
      <c r="B708" s="3" t="s">
        <v>528</v>
      </c>
      <c r="C708" s="3" t="s">
        <v>1785</v>
      </c>
      <c r="D708" s="3"/>
      <c r="E708" s="3" t="s">
        <v>1339</v>
      </c>
      <c r="F708" s="79">
        <v>103</v>
      </c>
      <c r="G708" s="3" t="s">
        <v>1221</v>
      </c>
      <c r="H708" s="3" t="s">
        <v>1846</v>
      </c>
      <c r="I708" s="3"/>
      <c r="J708" s="3" t="s">
        <v>1260</v>
      </c>
      <c r="K708" s="3" t="s">
        <v>1318</v>
      </c>
      <c r="L708" s="3" t="s">
        <v>1319</v>
      </c>
      <c r="M708" s="3" t="s">
        <v>1320</v>
      </c>
      <c r="N708" s="3" t="s">
        <v>1850</v>
      </c>
    </row>
    <row r="709" spans="1:14" x14ac:dyDescent="0.45">
      <c r="A709" s="3" t="s">
        <v>527</v>
      </c>
      <c r="B709" s="3" t="s">
        <v>528</v>
      </c>
      <c r="C709" s="3" t="s">
        <v>1787</v>
      </c>
      <c r="D709" s="3"/>
      <c r="E709" s="3" t="s">
        <v>1346</v>
      </c>
      <c r="F709" s="79">
        <v>104</v>
      </c>
      <c r="G709" s="3" t="s">
        <v>1221</v>
      </c>
      <c r="H709" s="3" t="s">
        <v>1846</v>
      </c>
      <c r="I709" s="3"/>
      <c r="J709" s="3" t="s">
        <v>1260</v>
      </c>
      <c r="K709" s="3" t="s">
        <v>1325</v>
      </c>
      <c r="L709" s="3" t="s">
        <v>1326</v>
      </c>
      <c r="M709" s="3" t="s">
        <v>1327</v>
      </c>
      <c r="N709" s="3" t="s">
        <v>1648</v>
      </c>
    </row>
    <row r="710" spans="1:14" x14ac:dyDescent="0.45">
      <c r="A710" s="3" t="s">
        <v>527</v>
      </c>
      <c r="B710" s="3" t="s">
        <v>528</v>
      </c>
      <c r="C710" s="3" t="s">
        <v>1789</v>
      </c>
      <c r="D710" s="3"/>
      <c r="E710" s="3" t="s">
        <v>1256</v>
      </c>
      <c r="F710" s="79">
        <v>114</v>
      </c>
      <c r="G710" s="3" t="s">
        <v>1221</v>
      </c>
      <c r="H710" s="3" t="s">
        <v>1846</v>
      </c>
      <c r="I710" s="3"/>
      <c r="J710" s="3" t="s">
        <v>1260</v>
      </c>
      <c r="K710" s="3" t="s">
        <v>1340</v>
      </c>
      <c r="L710" s="3" t="s">
        <v>1341</v>
      </c>
      <c r="M710" s="3" t="s">
        <v>1342</v>
      </c>
      <c r="N710" s="3" t="s">
        <v>1851</v>
      </c>
    </row>
    <row r="711" spans="1:14" x14ac:dyDescent="0.45">
      <c r="A711" s="3" t="s">
        <v>527</v>
      </c>
      <c r="B711" s="3" t="s">
        <v>528</v>
      </c>
      <c r="C711" s="3" t="s">
        <v>1791</v>
      </c>
      <c r="D711" s="3"/>
      <c r="E711" s="3" t="s">
        <v>1352</v>
      </c>
      <c r="F711" s="79">
        <v>136</v>
      </c>
      <c r="G711" s="3" t="s">
        <v>1221</v>
      </c>
      <c r="H711" s="3" t="s">
        <v>1846</v>
      </c>
      <c r="I711" s="3"/>
      <c r="J711" s="3" t="s">
        <v>1260</v>
      </c>
      <c r="K711" s="3" t="s">
        <v>1333</v>
      </c>
      <c r="L711" s="3" t="s">
        <v>1334</v>
      </c>
      <c r="M711" s="3" t="s">
        <v>1335</v>
      </c>
      <c r="N711" s="3" t="s">
        <v>1852</v>
      </c>
    </row>
    <row r="712" spans="1:14" x14ac:dyDescent="0.45">
      <c r="A712" s="3" t="s">
        <v>527</v>
      </c>
      <c r="B712" s="3" t="s">
        <v>528</v>
      </c>
      <c r="C712" s="3" t="s">
        <v>1793</v>
      </c>
      <c r="D712" s="3"/>
      <c r="E712" s="3" t="s">
        <v>1356</v>
      </c>
      <c r="F712" s="79">
        <v>217</v>
      </c>
      <c r="G712" s="3" t="s">
        <v>1221</v>
      </c>
      <c r="H712" s="3" t="s">
        <v>1846</v>
      </c>
      <c r="I712" s="3"/>
      <c r="J712" s="3" t="s">
        <v>1260</v>
      </c>
      <c r="K712" s="3" t="s">
        <v>1340</v>
      </c>
      <c r="L712" s="3" t="s">
        <v>1341</v>
      </c>
      <c r="M712" s="3" t="s">
        <v>1342</v>
      </c>
      <c r="N712" s="3" t="s">
        <v>1853</v>
      </c>
    </row>
    <row r="713" spans="1:14" x14ac:dyDescent="0.45">
      <c r="A713" s="3" t="s">
        <v>529</v>
      </c>
      <c r="B713" s="3" t="s">
        <v>1854</v>
      </c>
      <c r="C713" s="3" t="s">
        <v>1755</v>
      </c>
      <c r="D713" s="3"/>
      <c r="E713" s="3" t="s">
        <v>1220</v>
      </c>
      <c r="F713" s="79">
        <v>11</v>
      </c>
      <c r="G713" s="3" t="s">
        <v>1221</v>
      </c>
      <c r="H713" s="3" t="s">
        <v>1855</v>
      </c>
      <c r="I713" s="3"/>
      <c r="J713" s="3" t="s">
        <v>1224</v>
      </c>
      <c r="K713" s="3" t="s">
        <v>1225</v>
      </c>
      <c r="L713" s="3" t="s">
        <v>1226</v>
      </c>
      <c r="M713" s="3" t="s">
        <v>1227</v>
      </c>
      <c r="N713" s="3" t="s">
        <v>1621</v>
      </c>
    </row>
    <row r="714" spans="1:14" x14ac:dyDescent="0.45">
      <c r="A714" s="3" t="s">
        <v>529</v>
      </c>
      <c r="B714" s="3" t="s">
        <v>1854</v>
      </c>
      <c r="C714" s="3" t="s">
        <v>1757</v>
      </c>
      <c r="D714" s="3"/>
      <c r="E714" s="3" t="s">
        <v>1231</v>
      </c>
      <c r="F714" s="79">
        <v>34</v>
      </c>
      <c r="G714" s="3" t="s">
        <v>1221</v>
      </c>
      <c r="H714" s="3" t="s">
        <v>1855</v>
      </c>
      <c r="I714" s="3"/>
      <c r="J714" s="3" t="s">
        <v>1224</v>
      </c>
      <c r="K714" s="3" t="s">
        <v>1232</v>
      </c>
      <c r="L714" s="3" t="s">
        <v>1233</v>
      </c>
      <c r="M714" s="3" t="s">
        <v>1234</v>
      </c>
      <c r="N714" s="3" t="s">
        <v>1615</v>
      </c>
    </row>
    <row r="715" spans="1:14" x14ac:dyDescent="0.45">
      <c r="A715" s="3" t="s">
        <v>529</v>
      </c>
      <c r="B715" s="3" t="s">
        <v>1854</v>
      </c>
      <c r="C715" s="3" t="s">
        <v>1759</v>
      </c>
      <c r="D715" s="3"/>
      <c r="E715" s="3" t="s">
        <v>1266</v>
      </c>
      <c r="F715" s="79">
        <v>62</v>
      </c>
      <c r="G715" s="3" t="s">
        <v>1221</v>
      </c>
      <c r="H715" s="3" t="s">
        <v>1855</v>
      </c>
      <c r="I715" s="3"/>
      <c r="J715" s="3" t="s">
        <v>1260</v>
      </c>
      <c r="K715" s="3" t="s">
        <v>1267</v>
      </c>
      <c r="L715" s="3" t="s">
        <v>1268</v>
      </c>
      <c r="M715" s="3" t="s">
        <v>1269</v>
      </c>
      <c r="N715" s="3" t="s">
        <v>1539</v>
      </c>
    </row>
    <row r="716" spans="1:14" x14ac:dyDescent="0.45">
      <c r="A716" s="3" t="s">
        <v>529</v>
      </c>
      <c r="B716" s="3" t="s">
        <v>1854</v>
      </c>
      <c r="C716" s="3" t="s">
        <v>1761</v>
      </c>
      <c r="D716" s="3"/>
      <c r="E716" s="3" t="s">
        <v>1273</v>
      </c>
      <c r="F716" s="79">
        <v>72</v>
      </c>
      <c r="G716" s="3" t="s">
        <v>1221</v>
      </c>
      <c r="H716" s="3" t="s">
        <v>1855</v>
      </c>
      <c r="I716" s="3"/>
      <c r="J716" s="3" t="s">
        <v>1260</v>
      </c>
      <c r="K716" s="3" t="s">
        <v>1274</v>
      </c>
      <c r="L716" s="3" t="s">
        <v>1275</v>
      </c>
      <c r="M716" s="3" t="s">
        <v>1276</v>
      </c>
      <c r="N716" s="3" t="s">
        <v>1856</v>
      </c>
    </row>
    <row r="717" spans="1:14" x14ac:dyDescent="0.45">
      <c r="A717" s="3" t="s">
        <v>529</v>
      </c>
      <c r="B717" s="3" t="s">
        <v>1854</v>
      </c>
      <c r="C717" s="3" t="s">
        <v>1763</v>
      </c>
      <c r="D717" s="3"/>
      <c r="E717" s="3" t="s">
        <v>1280</v>
      </c>
      <c r="F717" s="79">
        <v>61</v>
      </c>
      <c r="G717" s="3" t="s">
        <v>1221</v>
      </c>
      <c r="H717" s="3" t="s">
        <v>1855</v>
      </c>
      <c r="I717" s="3"/>
      <c r="J717" s="3" t="s">
        <v>1260</v>
      </c>
      <c r="K717" s="3" t="s">
        <v>1281</v>
      </c>
      <c r="L717" s="3" t="s">
        <v>1282</v>
      </c>
      <c r="M717" s="3" t="s">
        <v>1283</v>
      </c>
      <c r="N717" s="3" t="s">
        <v>1857</v>
      </c>
    </row>
    <row r="718" spans="1:14" x14ac:dyDescent="0.45">
      <c r="A718" s="3" t="s">
        <v>529</v>
      </c>
      <c r="B718" s="3" t="s">
        <v>1854</v>
      </c>
      <c r="C718" s="3" t="s">
        <v>1765</v>
      </c>
      <c r="D718" s="3"/>
      <c r="E718" s="3" t="s">
        <v>1238</v>
      </c>
      <c r="F718" s="79">
        <v>60</v>
      </c>
      <c r="G718" s="3" t="s">
        <v>1221</v>
      </c>
      <c r="H718" s="3" t="s">
        <v>1855</v>
      </c>
      <c r="I718" s="3"/>
      <c r="J718" s="3" t="s">
        <v>1224</v>
      </c>
      <c r="K718" s="3" t="s">
        <v>1239</v>
      </c>
      <c r="L718" s="3" t="s">
        <v>1240</v>
      </c>
      <c r="M718" s="3" t="s">
        <v>1241</v>
      </c>
      <c r="N718" s="3" t="s">
        <v>1432</v>
      </c>
    </row>
    <row r="719" spans="1:14" x14ac:dyDescent="0.45">
      <c r="A719" s="3" t="s">
        <v>529</v>
      </c>
      <c r="B719" s="3" t="s">
        <v>1854</v>
      </c>
      <c r="C719" s="3" t="s">
        <v>1767</v>
      </c>
      <c r="D719" s="3"/>
      <c r="E719" s="3" t="s">
        <v>1288</v>
      </c>
      <c r="F719" s="79">
        <v>99</v>
      </c>
      <c r="G719" s="3" t="s">
        <v>1221</v>
      </c>
      <c r="H719" s="3" t="s">
        <v>1855</v>
      </c>
      <c r="I719" s="3"/>
      <c r="J719" s="3" t="s">
        <v>1260</v>
      </c>
      <c r="K719" s="3" t="s">
        <v>1289</v>
      </c>
      <c r="L719" s="3" t="s">
        <v>1290</v>
      </c>
      <c r="M719" s="3" t="s">
        <v>1291</v>
      </c>
      <c r="N719" s="3" t="s">
        <v>1523</v>
      </c>
    </row>
    <row r="720" spans="1:14" x14ac:dyDescent="0.45">
      <c r="A720" s="3" t="s">
        <v>529</v>
      </c>
      <c r="B720" s="3" t="s">
        <v>1854</v>
      </c>
      <c r="C720" s="3" t="s">
        <v>1769</v>
      </c>
      <c r="D720" s="3"/>
      <c r="E720" s="3" t="s">
        <v>1295</v>
      </c>
      <c r="F720" s="79">
        <v>91</v>
      </c>
      <c r="G720" s="3" t="s">
        <v>1221</v>
      </c>
      <c r="H720" s="3" t="s">
        <v>1855</v>
      </c>
      <c r="I720" s="3"/>
      <c r="J720" s="3" t="s">
        <v>1260</v>
      </c>
      <c r="K720" s="3" t="s">
        <v>1296</v>
      </c>
      <c r="L720" s="3" t="s">
        <v>1297</v>
      </c>
      <c r="M720" s="3" t="s">
        <v>1298</v>
      </c>
      <c r="N720" s="3" t="s">
        <v>1547</v>
      </c>
    </row>
    <row r="721" spans="1:14" x14ac:dyDescent="0.45">
      <c r="A721" s="3" t="s">
        <v>529</v>
      </c>
      <c r="B721" s="3" t="s">
        <v>1854</v>
      </c>
      <c r="C721" s="3" t="s">
        <v>1771</v>
      </c>
      <c r="D721" s="3"/>
      <c r="E721" s="3" t="s">
        <v>1302</v>
      </c>
      <c r="F721" s="79">
        <v>87</v>
      </c>
      <c r="G721" s="3" t="s">
        <v>1221</v>
      </c>
      <c r="H721" s="3" t="s">
        <v>1855</v>
      </c>
      <c r="I721" s="3"/>
      <c r="J721" s="3" t="s">
        <v>1260</v>
      </c>
      <c r="K721" s="3" t="s">
        <v>1303</v>
      </c>
      <c r="L721" s="3" t="s">
        <v>1304</v>
      </c>
      <c r="M721" s="3" t="s">
        <v>1305</v>
      </c>
      <c r="N721" s="3" t="s">
        <v>1544</v>
      </c>
    </row>
    <row r="722" spans="1:14" x14ac:dyDescent="0.45">
      <c r="A722" s="3" t="s">
        <v>529</v>
      </c>
      <c r="B722" s="3" t="s">
        <v>1854</v>
      </c>
      <c r="C722" s="3" t="s">
        <v>1773</v>
      </c>
      <c r="D722" s="3"/>
      <c r="E722" s="3" t="s">
        <v>1245</v>
      </c>
      <c r="F722" s="79">
        <v>87</v>
      </c>
      <c r="G722" s="3" t="s">
        <v>1221</v>
      </c>
      <c r="H722" s="3" t="s">
        <v>1855</v>
      </c>
      <c r="I722" s="3"/>
      <c r="J722" s="3" t="s">
        <v>1224</v>
      </c>
      <c r="K722" s="3" t="s">
        <v>1246</v>
      </c>
      <c r="L722" s="3" t="s">
        <v>1247</v>
      </c>
      <c r="M722" s="3" t="s">
        <v>1248</v>
      </c>
      <c r="N722" s="3" t="s">
        <v>1544</v>
      </c>
    </row>
    <row r="723" spans="1:14" x14ac:dyDescent="0.45">
      <c r="A723" s="3" t="s">
        <v>529</v>
      </c>
      <c r="B723" s="3" t="s">
        <v>1854</v>
      </c>
      <c r="C723" s="3" t="s">
        <v>1775</v>
      </c>
      <c r="D723" s="3"/>
      <c r="E723" s="3" t="s">
        <v>1310</v>
      </c>
      <c r="F723" s="79">
        <v>136</v>
      </c>
      <c r="G723" s="3" t="s">
        <v>1221</v>
      </c>
      <c r="H723" s="3" t="s">
        <v>1855</v>
      </c>
      <c r="I723" s="3"/>
      <c r="J723" s="3" t="s">
        <v>1260</v>
      </c>
      <c r="K723" s="3" t="s">
        <v>1311</v>
      </c>
      <c r="L723" s="3" t="s">
        <v>1312</v>
      </c>
      <c r="M723" s="3" t="s">
        <v>1313</v>
      </c>
      <c r="N723" s="3" t="s">
        <v>1852</v>
      </c>
    </row>
    <row r="724" spans="1:14" x14ac:dyDescent="0.45">
      <c r="A724" s="3" t="s">
        <v>529</v>
      </c>
      <c r="B724" s="3" t="s">
        <v>1854</v>
      </c>
      <c r="C724" s="3" t="s">
        <v>1777</v>
      </c>
      <c r="D724" s="3"/>
      <c r="E724" s="3" t="s">
        <v>1317</v>
      </c>
      <c r="F724" s="79">
        <v>115</v>
      </c>
      <c r="G724" s="3" t="s">
        <v>1221</v>
      </c>
      <c r="H724" s="3" t="s">
        <v>1855</v>
      </c>
      <c r="I724" s="3"/>
      <c r="J724" s="3" t="s">
        <v>1260</v>
      </c>
      <c r="K724" s="3" t="s">
        <v>1318</v>
      </c>
      <c r="L724" s="3" t="s">
        <v>1319</v>
      </c>
      <c r="M724" s="3" t="s">
        <v>1320</v>
      </c>
      <c r="N724" s="3" t="s">
        <v>1264</v>
      </c>
    </row>
    <row r="725" spans="1:14" x14ac:dyDescent="0.45">
      <c r="A725" s="3" t="s">
        <v>529</v>
      </c>
      <c r="B725" s="3" t="s">
        <v>1854</v>
      </c>
      <c r="C725" s="3" t="s">
        <v>1779</v>
      </c>
      <c r="D725" s="3"/>
      <c r="E725" s="3" t="s">
        <v>1324</v>
      </c>
      <c r="F725" s="79">
        <v>127</v>
      </c>
      <c r="G725" s="3" t="s">
        <v>1221</v>
      </c>
      <c r="H725" s="3" t="s">
        <v>1855</v>
      </c>
      <c r="I725" s="3"/>
      <c r="J725" s="3" t="s">
        <v>1260</v>
      </c>
      <c r="K725" s="3" t="s">
        <v>1325</v>
      </c>
      <c r="L725" s="3" t="s">
        <v>1326</v>
      </c>
      <c r="M725" s="3" t="s">
        <v>1327</v>
      </c>
      <c r="N725" s="3" t="s">
        <v>1844</v>
      </c>
    </row>
    <row r="726" spans="1:14" x14ac:dyDescent="0.45">
      <c r="A726" s="3" t="s">
        <v>529</v>
      </c>
      <c r="B726" s="3" t="s">
        <v>1854</v>
      </c>
      <c r="C726" s="3" t="s">
        <v>1781</v>
      </c>
      <c r="D726" s="3"/>
      <c r="E726" s="3" t="s">
        <v>1252</v>
      </c>
      <c r="F726" s="79">
        <v>123</v>
      </c>
      <c r="G726" s="3" t="s">
        <v>1221</v>
      </c>
      <c r="H726" s="3" t="s">
        <v>1855</v>
      </c>
      <c r="I726" s="3"/>
      <c r="J726" s="3" t="s">
        <v>1224</v>
      </c>
      <c r="K726" s="3" t="s">
        <v>1246</v>
      </c>
      <c r="L726" s="3" t="s">
        <v>1247</v>
      </c>
      <c r="M726" s="3" t="s">
        <v>1248</v>
      </c>
      <c r="N726" s="3" t="s">
        <v>1858</v>
      </c>
    </row>
    <row r="727" spans="1:14" x14ac:dyDescent="0.45">
      <c r="A727" s="3" t="s">
        <v>529</v>
      </c>
      <c r="B727" s="3" t="s">
        <v>1854</v>
      </c>
      <c r="C727" s="3" t="s">
        <v>1783</v>
      </c>
      <c r="D727" s="3"/>
      <c r="E727" s="3" t="s">
        <v>1332</v>
      </c>
      <c r="F727" s="79">
        <v>187</v>
      </c>
      <c r="G727" s="3" t="s">
        <v>1221</v>
      </c>
      <c r="H727" s="3" t="s">
        <v>1855</v>
      </c>
      <c r="I727" s="3"/>
      <c r="J727" s="3" t="s">
        <v>1260</v>
      </c>
      <c r="K727" s="3" t="s">
        <v>1333</v>
      </c>
      <c r="L727" s="3" t="s">
        <v>1334</v>
      </c>
      <c r="M727" s="3" t="s">
        <v>1335</v>
      </c>
      <c r="N727" s="3" t="s">
        <v>1859</v>
      </c>
    </row>
    <row r="728" spans="1:14" x14ac:dyDescent="0.45">
      <c r="A728" s="3" t="s">
        <v>529</v>
      </c>
      <c r="B728" s="3" t="s">
        <v>1854</v>
      </c>
      <c r="C728" s="3" t="s">
        <v>1785</v>
      </c>
      <c r="D728" s="3"/>
      <c r="E728" s="3" t="s">
        <v>1339</v>
      </c>
      <c r="F728" s="79">
        <v>168</v>
      </c>
      <c r="G728" s="3" t="s">
        <v>1221</v>
      </c>
      <c r="H728" s="3" t="s">
        <v>1855</v>
      </c>
      <c r="I728" s="3"/>
      <c r="J728" s="3" t="s">
        <v>1260</v>
      </c>
      <c r="K728" s="3" t="s">
        <v>1340</v>
      </c>
      <c r="L728" s="3" t="s">
        <v>1341</v>
      </c>
      <c r="M728" s="3" t="s">
        <v>1342</v>
      </c>
      <c r="N728" s="3" t="s">
        <v>1860</v>
      </c>
    </row>
    <row r="729" spans="1:14" x14ac:dyDescent="0.45">
      <c r="A729" s="3" t="s">
        <v>529</v>
      </c>
      <c r="B729" s="3" t="s">
        <v>1854</v>
      </c>
      <c r="C729" s="3" t="s">
        <v>1787</v>
      </c>
      <c r="D729" s="3"/>
      <c r="E729" s="3" t="s">
        <v>1346</v>
      </c>
      <c r="F729" s="79">
        <v>172</v>
      </c>
      <c r="G729" s="3" t="s">
        <v>1221</v>
      </c>
      <c r="H729" s="3" t="s">
        <v>1855</v>
      </c>
      <c r="I729" s="3"/>
      <c r="J729" s="3" t="s">
        <v>1260</v>
      </c>
      <c r="K729" s="3" t="s">
        <v>1325</v>
      </c>
      <c r="L729" s="3" t="s">
        <v>1326</v>
      </c>
      <c r="M729" s="3" t="s">
        <v>1327</v>
      </c>
      <c r="N729" s="3" t="s">
        <v>1861</v>
      </c>
    </row>
    <row r="730" spans="1:14" x14ac:dyDescent="0.45">
      <c r="A730" s="3" t="s">
        <v>529</v>
      </c>
      <c r="B730" s="3" t="s">
        <v>1854</v>
      </c>
      <c r="C730" s="3" t="s">
        <v>1789</v>
      </c>
      <c r="D730" s="3"/>
      <c r="E730" s="3" t="s">
        <v>1256</v>
      </c>
      <c r="F730" s="79">
        <v>159</v>
      </c>
      <c r="G730" s="3" t="s">
        <v>1221</v>
      </c>
      <c r="H730" s="3" t="s">
        <v>1855</v>
      </c>
      <c r="I730" s="3"/>
      <c r="J730" s="3" t="s">
        <v>1260</v>
      </c>
      <c r="K730" s="3" t="s">
        <v>1340</v>
      </c>
      <c r="L730" s="3" t="s">
        <v>1341</v>
      </c>
      <c r="M730" s="3" t="s">
        <v>1342</v>
      </c>
      <c r="N730" s="3" t="s">
        <v>1427</v>
      </c>
    </row>
    <row r="731" spans="1:14" x14ac:dyDescent="0.45">
      <c r="A731" s="3" t="s">
        <v>529</v>
      </c>
      <c r="B731" s="3" t="s">
        <v>1854</v>
      </c>
      <c r="C731" s="3" t="s">
        <v>1791</v>
      </c>
      <c r="D731" s="3"/>
      <c r="E731" s="3" t="s">
        <v>1352</v>
      </c>
      <c r="F731" s="79">
        <v>241</v>
      </c>
      <c r="G731" s="3" t="s">
        <v>1221</v>
      </c>
      <c r="H731" s="3" t="s">
        <v>1855</v>
      </c>
      <c r="I731" s="3"/>
      <c r="J731" s="3" t="s">
        <v>1260</v>
      </c>
      <c r="K731" s="3" t="s">
        <v>1333</v>
      </c>
      <c r="L731" s="3" t="s">
        <v>1334</v>
      </c>
      <c r="M731" s="3" t="s">
        <v>1335</v>
      </c>
      <c r="N731" s="3" t="s">
        <v>1493</v>
      </c>
    </row>
    <row r="732" spans="1:14" x14ac:dyDescent="0.45">
      <c r="A732" s="3" t="s">
        <v>529</v>
      </c>
      <c r="B732" s="3" t="s">
        <v>1854</v>
      </c>
      <c r="C732" s="3" t="s">
        <v>1793</v>
      </c>
      <c r="D732" s="3"/>
      <c r="E732" s="3" t="s">
        <v>1356</v>
      </c>
      <c r="F732" s="79">
        <v>216</v>
      </c>
      <c r="G732" s="3" t="s">
        <v>1221</v>
      </c>
      <c r="H732" s="3" t="s">
        <v>1855</v>
      </c>
      <c r="I732" s="3"/>
      <c r="J732" s="3" t="s">
        <v>1260</v>
      </c>
      <c r="K732" s="3" t="s">
        <v>1340</v>
      </c>
      <c r="L732" s="3" t="s">
        <v>1341</v>
      </c>
      <c r="M732" s="3" t="s">
        <v>1342</v>
      </c>
      <c r="N732" s="3" t="s">
        <v>1862</v>
      </c>
    </row>
    <row r="733" spans="1:14" x14ac:dyDescent="0.45">
      <c r="A733" s="3" t="s">
        <v>1163</v>
      </c>
      <c r="B733" s="3" t="s">
        <v>534</v>
      </c>
      <c r="C733" s="3" t="s">
        <v>1755</v>
      </c>
      <c r="D733" s="3"/>
      <c r="E733" s="3" t="s">
        <v>1220</v>
      </c>
      <c r="F733" s="79">
        <v>673</v>
      </c>
      <c r="G733" s="3" t="s">
        <v>1221</v>
      </c>
      <c r="H733" s="3" t="s">
        <v>1863</v>
      </c>
      <c r="I733" s="3"/>
      <c r="J733" s="3" t="s">
        <v>1224</v>
      </c>
      <c r="K733" s="3" t="s">
        <v>1817</v>
      </c>
      <c r="L733" s="3" t="s">
        <v>1818</v>
      </c>
      <c r="M733" s="3" t="s">
        <v>1819</v>
      </c>
      <c r="N733" s="3" t="s">
        <v>1370</v>
      </c>
    </row>
    <row r="734" spans="1:14" x14ac:dyDescent="0.45">
      <c r="A734" s="3" t="s">
        <v>1163</v>
      </c>
      <c r="B734" s="3" t="s">
        <v>534</v>
      </c>
      <c r="C734" s="3" t="s">
        <v>1757</v>
      </c>
      <c r="D734" s="3"/>
      <c r="E734" s="3" t="s">
        <v>1231</v>
      </c>
      <c r="F734" s="79">
        <v>1485</v>
      </c>
      <c r="G734" s="3" t="s">
        <v>1221</v>
      </c>
      <c r="H734" s="3" t="s">
        <v>1863</v>
      </c>
      <c r="I734" s="3"/>
      <c r="J734" s="3" t="s">
        <v>1224</v>
      </c>
      <c r="K734" s="3" t="s">
        <v>1225</v>
      </c>
      <c r="L734" s="3" t="s">
        <v>1226</v>
      </c>
      <c r="M734" s="3" t="s">
        <v>1227</v>
      </c>
      <c r="N734" s="3" t="s">
        <v>1864</v>
      </c>
    </row>
    <row r="735" spans="1:14" x14ac:dyDescent="0.45">
      <c r="A735" s="3" t="s">
        <v>1163</v>
      </c>
      <c r="B735" s="3" t="s">
        <v>534</v>
      </c>
      <c r="C735" s="3" t="s">
        <v>1759</v>
      </c>
      <c r="D735" s="3"/>
      <c r="E735" s="3" t="s">
        <v>1266</v>
      </c>
      <c r="F735" s="79">
        <v>1477</v>
      </c>
      <c r="G735" s="3" t="s">
        <v>1221</v>
      </c>
      <c r="H735" s="3" t="s">
        <v>1863</v>
      </c>
      <c r="I735" s="3"/>
      <c r="J735" s="3" t="s">
        <v>1260</v>
      </c>
      <c r="K735" s="3" t="s">
        <v>1821</v>
      </c>
      <c r="L735" s="3" t="s">
        <v>1822</v>
      </c>
      <c r="M735" s="3" t="s">
        <v>1823</v>
      </c>
      <c r="N735" s="3" t="s">
        <v>1865</v>
      </c>
    </row>
    <row r="736" spans="1:14" x14ac:dyDescent="0.45">
      <c r="A736" s="3" t="s">
        <v>1163</v>
      </c>
      <c r="B736" s="3" t="s">
        <v>534</v>
      </c>
      <c r="C736" s="3" t="s">
        <v>1761</v>
      </c>
      <c r="D736" s="3"/>
      <c r="E736" s="3" t="s">
        <v>1273</v>
      </c>
      <c r="F736" s="79">
        <v>1486</v>
      </c>
      <c r="G736" s="3" t="s">
        <v>1221</v>
      </c>
      <c r="H736" s="3" t="s">
        <v>1863</v>
      </c>
      <c r="I736" s="3"/>
      <c r="J736" s="3" t="s">
        <v>1260</v>
      </c>
      <c r="K736" s="3" t="s">
        <v>1825</v>
      </c>
      <c r="L736" s="3" t="s">
        <v>1826</v>
      </c>
      <c r="M736" s="3" t="s">
        <v>1827</v>
      </c>
      <c r="N736" s="3" t="s">
        <v>1866</v>
      </c>
    </row>
    <row r="737" spans="1:14" x14ac:dyDescent="0.45">
      <c r="A737" s="3" t="s">
        <v>1163</v>
      </c>
      <c r="B737" s="3" t="s">
        <v>534</v>
      </c>
      <c r="C737" s="3" t="s">
        <v>1763</v>
      </c>
      <c r="D737" s="3"/>
      <c r="E737" s="3" t="s">
        <v>1280</v>
      </c>
      <c r="F737" s="79">
        <v>1402</v>
      </c>
      <c r="G737" s="3" t="s">
        <v>1221</v>
      </c>
      <c r="H737" s="3" t="s">
        <v>1863</v>
      </c>
      <c r="I737" s="3"/>
      <c r="J737" s="3" t="s">
        <v>1260</v>
      </c>
      <c r="K737" s="3" t="s">
        <v>1261</v>
      </c>
      <c r="L737" s="3" t="s">
        <v>1262</v>
      </c>
      <c r="M737" s="3" t="s">
        <v>1263</v>
      </c>
      <c r="N737" s="3" t="s">
        <v>1867</v>
      </c>
    </row>
    <row r="738" spans="1:14" x14ac:dyDescent="0.45">
      <c r="A738" s="3" t="s">
        <v>1163</v>
      </c>
      <c r="B738" s="3" t="s">
        <v>534</v>
      </c>
      <c r="C738" s="3" t="s">
        <v>1765</v>
      </c>
      <c r="D738" s="3"/>
      <c r="E738" s="3" t="s">
        <v>1238</v>
      </c>
      <c r="F738" s="79">
        <v>1407</v>
      </c>
      <c r="G738" s="3" t="s">
        <v>1221</v>
      </c>
      <c r="H738" s="3" t="s">
        <v>1863</v>
      </c>
      <c r="I738" s="3"/>
      <c r="J738" s="3" t="s">
        <v>1224</v>
      </c>
      <c r="K738" s="3" t="s">
        <v>1232</v>
      </c>
      <c r="L738" s="3" t="s">
        <v>1233</v>
      </c>
      <c r="M738" s="3" t="s">
        <v>1234</v>
      </c>
      <c r="N738" s="3" t="s">
        <v>1868</v>
      </c>
    </row>
    <row r="739" spans="1:14" x14ac:dyDescent="0.45">
      <c r="A739" s="3" t="s">
        <v>1163</v>
      </c>
      <c r="B739" s="3" t="s">
        <v>534</v>
      </c>
      <c r="C739" s="3" t="s">
        <v>1767</v>
      </c>
      <c r="D739" s="3"/>
      <c r="E739" s="3" t="s">
        <v>1288</v>
      </c>
      <c r="F739" s="79">
        <v>1408</v>
      </c>
      <c r="G739" s="3" t="s">
        <v>1221</v>
      </c>
      <c r="H739" s="3" t="s">
        <v>1863</v>
      </c>
      <c r="I739" s="3"/>
      <c r="J739" s="3" t="s">
        <v>1260</v>
      </c>
      <c r="K739" s="3" t="s">
        <v>1267</v>
      </c>
      <c r="L739" s="3" t="s">
        <v>1268</v>
      </c>
      <c r="M739" s="3" t="s">
        <v>1269</v>
      </c>
      <c r="N739" s="3" t="s">
        <v>1869</v>
      </c>
    </row>
    <row r="740" spans="1:14" x14ac:dyDescent="0.45">
      <c r="A740" s="3" t="s">
        <v>1163</v>
      </c>
      <c r="B740" s="3" t="s">
        <v>534</v>
      </c>
      <c r="C740" s="3" t="s">
        <v>1769</v>
      </c>
      <c r="D740" s="3"/>
      <c r="E740" s="3" t="s">
        <v>1295</v>
      </c>
      <c r="F740" s="79">
        <v>1455</v>
      </c>
      <c r="G740" s="3" t="s">
        <v>1221</v>
      </c>
      <c r="H740" s="3" t="s">
        <v>1863</v>
      </c>
      <c r="I740" s="3"/>
      <c r="J740" s="3" t="s">
        <v>1260</v>
      </c>
      <c r="K740" s="3" t="s">
        <v>1274</v>
      </c>
      <c r="L740" s="3" t="s">
        <v>1275</v>
      </c>
      <c r="M740" s="3" t="s">
        <v>1276</v>
      </c>
      <c r="N740" s="3" t="s">
        <v>1870</v>
      </c>
    </row>
    <row r="741" spans="1:14" x14ac:dyDescent="0.45">
      <c r="A741" s="3" t="s">
        <v>1163</v>
      </c>
      <c r="B741" s="3" t="s">
        <v>534</v>
      </c>
      <c r="C741" s="3" t="s">
        <v>1771</v>
      </c>
      <c r="D741" s="3"/>
      <c r="E741" s="3" t="s">
        <v>1302</v>
      </c>
      <c r="F741" s="79">
        <v>1480</v>
      </c>
      <c r="G741" s="3" t="s">
        <v>1221</v>
      </c>
      <c r="H741" s="3" t="s">
        <v>1863</v>
      </c>
      <c r="I741" s="3"/>
      <c r="J741" s="3" t="s">
        <v>1260</v>
      </c>
      <c r="K741" s="3" t="s">
        <v>1281</v>
      </c>
      <c r="L741" s="3" t="s">
        <v>1282</v>
      </c>
      <c r="M741" s="3" t="s">
        <v>1283</v>
      </c>
      <c r="N741" s="3" t="s">
        <v>1871</v>
      </c>
    </row>
    <row r="742" spans="1:14" x14ac:dyDescent="0.45">
      <c r="A742" s="3" t="s">
        <v>1163</v>
      </c>
      <c r="B742" s="3" t="s">
        <v>534</v>
      </c>
      <c r="C742" s="3" t="s">
        <v>1773</v>
      </c>
      <c r="D742" s="3"/>
      <c r="E742" s="3" t="s">
        <v>1245</v>
      </c>
      <c r="F742" s="79">
        <v>1570</v>
      </c>
      <c r="G742" s="3" t="s">
        <v>1221</v>
      </c>
      <c r="H742" s="3" t="s">
        <v>1863</v>
      </c>
      <c r="I742" s="3"/>
      <c r="J742" s="3" t="s">
        <v>1224</v>
      </c>
      <c r="K742" s="3" t="s">
        <v>1239</v>
      </c>
      <c r="L742" s="3" t="s">
        <v>1240</v>
      </c>
      <c r="M742" s="3" t="s">
        <v>1241</v>
      </c>
      <c r="N742" s="3" t="s">
        <v>1383</v>
      </c>
    </row>
    <row r="743" spans="1:14" x14ac:dyDescent="0.45">
      <c r="A743" s="3" t="s">
        <v>1163</v>
      </c>
      <c r="B743" s="3" t="s">
        <v>534</v>
      </c>
      <c r="C743" s="3" t="s">
        <v>1775</v>
      </c>
      <c r="D743" s="3"/>
      <c r="E743" s="3" t="s">
        <v>1310</v>
      </c>
      <c r="F743" s="79">
        <v>1651</v>
      </c>
      <c r="G743" s="3" t="s">
        <v>1221</v>
      </c>
      <c r="H743" s="3" t="s">
        <v>1863</v>
      </c>
      <c r="I743" s="3"/>
      <c r="J743" s="3" t="s">
        <v>1260</v>
      </c>
      <c r="K743" s="3" t="s">
        <v>1289</v>
      </c>
      <c r="L743" s="3" t="s">
        <v>1290</v>
      </c>
      <c r="M743" s="3" t="s">
        <v>1291</v>
      </c>
      <c r="N743" s="3" t="s">
        <v>1872</v>
      </c>
    </row>
    <row r="744" spans="1:14" x14ac:dyDescent="0.45">
      <c r="A744" s="3" t="s">
        <v>1163</v>
      </c>
      <c r="B744" s="3" t="s">
        <v>534</v>
      </c>
      <c r="C744" s="3" t="s">
        <v>1777</v>
      </c>
      <c r="D744" s="3"/>
      <c r="E744" s="3" t="s">
        <v>1317</v>
      </c>
      <c r="F744" s="79">
        <v>1739</v>
      </c>
      <c r="G744" s="3" t="s">
        <v>1221</v>
      </c>
      <c r="H744" s="3" t="s">
        <v>1863</v>
      </c>
      <c r="I744" s="3"/>
      <c r="J744" s="3" t="s">
        <v>1260</v>
      </c>
      <c r="K744" s="3" t="s">
        <v>1296</v>
      </c>
      <c r="L744" s="3" t="s">
        <v>1297</v>
      </c>
      <c r="M744" s="3" t="s">
        <v>1298</v>
      </c>
      <c r="N744" s="3" t="s">
        <v>1873</v>
      </c>
    </row>
    <row r="745" spans="1:14" x14ac:dyDescent="0.45">
      <c r="A745" s="3" t="s">
        <v>1163</v>
      </c>
      <c r="B745" s="3" t="s">
        <v>534</v>
      </c>
      <c r="C745" s="3" t="s">
        <v>1779</v>
      </c>
      <c r="D745" s="3"/>
      <c r="E745" s="3" t="s">
        <v>1324</v>
      </c>
      <c r="F745" s="79">
        <v>1802</v>
      </c>
      <c r="G745" s="3" t="s">
        <v>1221</v>
      </c>
      <c r="H745" s="3" t="s">
        <v>1863</v>
      </c>
      <c r="I745" s="3"/>
      <c r="J745" s="3" t="s">
        <v>1260</v>
      </c>
      <c r="K745" s="3" t="s">
        <v>1303</v>
      </c>
      <c r="L745" s="3" t="s">
        <v>1304</v>
      </c>
      <c r="M745" s="3" t="s">
        <v>1305</v>
      </c>
      <c r="N745" s="3" t="s">
        <v>1874</v>
      </c>
    </row>
    <row r="746" spans="1:14" x14ac:dyDescent="0.45">
      <c r="A746" s="3" t="s">
        <v>1163</v>
      </c>
      <c r="B746" s="3" t="s">
        <v>534</v>
      </c>
      <c r="C746" s="3" t="s">
        <v>1781</v>
      </c>
      <c r="D746" s="3"/>
      <c r="E746" s="3" t="s">
        <v>1252</v>
      </c>
      <c r="F746" s="79">
        <v>1975</v>
      </c>
      <c r="G746" s="3" t="s">
        <v>1221</v>
      </c>
      <c r="H746" s="3" t="s">
        <v>1863</v>
      </c>
      <c r="I746" s="3"/>
      <c r="J746" s="3" t="s">
        <v>1224</v>
      </c>
      <c r="K746" s="3" t="s">
        <v>1246</v>
      </c>
      <c r="L746" s="3" t="s">
        <v>1247</v>
      </c>
      <c r="M746" s="3" t="s">
        <v>1248</v>
      </c>
      <c r="N746" s="3" t="s">
        <v>1875</v>
      </c>
    </row>
    <row r="747" spans="1:14" x14ac:dyDescent="0.45">
      <c r="A747" s="3" t="s">
        <v>1163</v>
      </c>
      <c r="B747" s="3" t="s">
        <v>534</v>
      </c>
      <c r="C747" s="3" t="s">
        <v>1783</v>
      </c>
      <c r="D747" s="3"/>
      <c r="E747" s="3" t="s">
        <v>1332</v>
      </c>
      <c r="F747" s="79">
        <v>2122</v>
      </c>
      <c r="G747" s="3" t="s">
        <v>1221</v>
      </c>
      <c r="H747" s="3" t="s">
        <v>1863</v>
      </c>
      <c r="I747" s="3"/>
      <c r="J747" s="3" t="s">
        <v>1260</v>
      </c>
      <c r="K747" s="3" t="s">
        <v>1311</v>
      </c>
      <c r="L747" s="3" t="s">
        <v>1312</v>
      </c>
      <c r="M747" s="3" t="s">
        <v>1313</v>
      </c>
      <c r="N747" s="3" t="s">
        <v>1876</v>
      </c>
    </row>
    <row r="748" spans="1:14" x14ac:dyDescent="0.45">
      <c r="A748" s="3" t="s">
        <v>1163</v>
      </c>
      <c r="B748" s="3" t="s">
        <v>534</v>
      </c>
      <c r="C748" s="3" t="s">
        <v>1785</v>
      </c>
      <c r="D748" s="3"/>
      <c r="E748" s="3" t="s">
        <v>1339</v>
      </c>
      <c r="F748" s="79">
        <v>2317</v>
      </c>
      <c r="G748" s="3" t="s">
        <v>1221</v>
      </c>
      <c r="H748" s="3" t="s">
        <v>1863</v>
      </c>
      <c r="I748" s="3"/>
      <c r="J748" s="3" t="s">
        <v>1260</v>
      </c>
      <c r="K748" s="3" t="s">
        <v>1318</v>
      </c>
      <c r="L748" s="3" t="s">
        <v>1319</v>
      </c>
      <c r="M748" s="3" t="s">
        <v>1320</v>
      </c>
      <c r="N748" s="3" t="s">
        <v>1877</v>
      </c>
    </row>
    <row r="749" spans="1:14" x14ac:dyDescent="0.45">
      <c r="A749" s="3" t="s">
        <v>1163</v>
      </c>
      <c r="B749" s="3" t="s">
        <v>534</v>
      </c>
      <c r="C749" s="3" t="s">
        <v>1787</v>
      </c>
      <c r="D749" s="3"/>
      <c r="E749" s="3" t="s">
        <v>1346</v>
      </c>
      <c r="F749" s="79">
        <v>2495</v>
      </c>
      <c r="G749" s="3" t="s">
        <v>1221</v>
      </c>
      <c r="H749" s="3" t="s">
        <v>1863</v>
      </c>
      <c r="I749" s="3"/>
      <c r="J749" s="3" t="s">
        <v>1260</v>
      </c>
      <c r="K749" s="3" t="s">
        <v>1325</v>
      </c>
      <c r="L749" s="3" t="s">
        <v>1326</v>
      </c>
      <c r="M749" s="3" t="s">
        <v>1327</v>
      </c>
      <c r="N749" s="3" t="s">
        <v>1878</v>
      </c>
    </row>
    <row r="750" spans="1:14" x14ac:dyDescent="0.45">
      <c r="A750" s="3" t="s">
        <v>1163</v>
      </c>
      <c r="B750" s="3" t="s">
        <v>534</v>
      </c>
      <c r="C750" s="3" t="s">
        <v>1789</v>
      </c>
      <c r="D750" s="3"/>
      <c r="E750" s="3" t="s">
        <v>1256</v>
      </c>
      <c r="F750" s="79">
        <v>2669</v>
      </c>
      <c r="G750" s="3" t="s">
        <v>1221</v>
      </c>
      <c r="H750" s="3" t="s">
        <v>1863</v>
      </c>
      <c r="I750" s="3"/>
      <c r="J750" s="3" t="s">
        <v>1260</v>
      </c>
      <c r="K750" s="3" t="s">
        <v>1340</v>
      </c>
      <c r="L750" s="3" t="s">
        <v>1341</v>
      </c>
      <c r="M750" s="3" t="s">
        <v>1342</v>
      </c>
      <c r="N750" s="3" t="s">
        <v>1879</v>
      </c>
    </row>
    <row r="751" spans="1:14" x14ac:dyDescent="0.45">
      <c r="A751" s="3" t="s">
        <v>1163</v>
      </c>
      <c r="B751" s="3" t="s">
        <v>534</v>
      </c>
      <c r="C751" s="3" t="s">
        <v>1791</v>
      </c>
      <c r="D751" s="3"/>
      <c r="E751" s="3" t="s">
        <v>1352</v>
      </c>
      <c r="F751" s="79">
        <v>2592</v>
      </c>
      <c r="G751" s="3" t="s">
        <v>1221</v>
      </c>
      <c r="H751" s="3" t="s">
        <v>1863</v>
      </c>
      <c r="I751" s="3"/>
      <c r="J751" s="3" t="s">
        <v>1260</v>
      </c>
      <c r="K751" s="3" t="s">
        <v>1333</v>
      </c>
      <c r="L751" s="3" t="s">
        <v>1334</v>
      </c>
      <c r="M751" s="3" t="s">
        <v>1335</v>
      </c>
      <c r="N751" s="3" t="s">
        <v>1880</v>
      </c>
    </row>
    <row r="752" spans="1:14" x14ac:dyDescent="0.45">
      <c r="A752" s="3" t="s">
        <v>1163</v>
      </c>
      <c r="B752" s="3" t="s">
        <v>534</v>
      </c>
      <c r="C752" s="3" t="s">
        <v>1793</v>
      </c>
      <c r="D752" s="3"/>
      <c r="E752" s="3" t="s">
        <v>1356</v>
      </c>
      <c r="F752" s="79">
        <v>2650</v>
      </c>
      <c r="G752" s="3" t="s">
        <v>1221</v>
      </c>
      <c r="H752" s="3" t="s">
        <v>1863</v>
      </c>
      <c r="I752" s="3"/>
      <c r="J752" s="3" t="s">
        <v>1260</v>
      </c>
      <c r="K752" s="3" t="s">
        <v>1340</v>
      </c>
      <c r="L752" s="3" t="s">
        <v>1341</v>
      </c>
      <c r="M752" s="3" t="s">
        <v>1342</v>
      </c>
      <c r="N752" s="3" t="s">
        <v>1881</v>
      </c>
    </row>
    <row r="753" spans="1:14" x14ac:dyDescent="0.45">
      <c r="A753" s="3" t="s">
        <v>535</v>
      </c>
      <c r="B753" s="3" t="s">
        <v>536</v>
      </c>
      <c r="C753" s="3" t="s">
        <v>1755</v>
      </c>
      <c r="D753" s="3"/>
      <c r="E753" s="3" t="s">
        <v>1220</v>
      </c>
      <c r="F753" s="79">
        <v>44</v>
      </c>
      <c r="G753" s="3" t="s">
        <v>1221</v>
      </c>
      <c r="H753" s="3" t="s">
        <v>1882</v>
      </c>
      <c r="I753" s="3"/>
      <c r="J753" s="3" t="s">
        <v>1224</v>
      </c>
      <c r="K753" s="3" t="s">
        <v>1817</v>
      </c>
      <c r="L753" s="3" t="s">
        <v>1818</v>
      </c>
      <c r="M753" s="3" t="s">
        <v>1819</v>
      </c>
      <c r="N753" s="3" t="s">
        <v>1847</v>
      </c>
    </row>
    <row r="754" spans="1:14" x14ac:dyDescent="0.45">
      <c r="A754" s="3" t="s">
        <v>535</v>
      </c>
      <c r="B754" s="3" t="s">
        <v>536</v>
      </c>
      <c r="C754" s="3" t="s">
        <v>1757</v>
      </c>
      <c r="D754" s="3"/>
      <c r="E754" s="3" t="s">
        <v>1231</v>
      </c>
      <c r="F754" s="79">
        <v>41</v>
      </c>
      <c r="G754" s="3" t="s">
        <v>1221</v>
      </c>
      <c r="H754" s="3" t="s">
        <v>1882</v>
      </c>
      <c r="I754" s="3"/>
      <c r="J754" s="3" t="s">
        <v>1224</v>
      </c>
      <c r="K754" s="3" t="s">
        <v>1225</v>
      </c>
      <c r="L754" s="3" t="s">
        <v>1226</v>
      </c>
      <c r="M754" s="3" t="s">
        <v>1227</v>
      </c>
      <c r="N754" s="3" t="s">
        <v>1415</v>
      </c>
    </row>
    <row r="755" spans="1:14" x14ac:dyDescent="0.45">
      <c r="A755" s="3" t="s">
        <v>535</v>
      </c>
      <c r="B755" s="3" t="s">
        <v>536</v>
      </c>
      <c r="C755" s="3" t="s">
        <v>1759</v>
      </c>
      <c r="D755" s="3"/>
      <c r="E755" s="3" t="s">
        <v>1266</v>
      </c>
      <c r="F755" s="79">
        <v>42</v>
      </c>
      <c r="G755" s="3" t="s">
        <v>1221</v>
      </c>
      <c r="H755" s="3" t="s">
        <v>1882</v>
      </c>
      <c r="I755" s="3"/>
      <c r="J755" s="3" t="s">
        <v>1260</v>
      </c>
      <c r="K755" s="3" t="s">
        <v>1821</v>
      </c>
      <c r="L755" s="3" t="s">
        <v>1822</v>
      </c>
      <c r="M755" s="3" t="s">
        <v>1823</v>
      </c>
      <c r="N755" s="3" t="s">
        <v>1623</v>
      </c>
    </row>
    <row r="756" spans="1:14" x14ac:dyDescent="0.45">
      <c r="A756" s="3" t="s">
        <v>535</v>
      </c>
      <c r="B756" s="3" t="s">
        <v>536</v>
      </c>
      <c r="C756" s="3" t="s">
        <v>1761</v>
      </c>
      <c r="D756" s="3"/>
      <c r="E756" s="3" t="s">
        <v>1273</v>
      </c>
      <c r="F756" s="79">
        <v>45</v>
      </c>
      <c r="G756" s="3" t="s">
        <v>1221</v>
      </c>
      <c r="H756" s="3" t="s">
        <v>1882</v>
      </c>
      <c r="I756" s="3"/>
      <c r="J756" s="3" t="s">
        <v>1260</v>
      </c>
      <c r="K756" s="3" t="s">
        <v>1825</v>
      </c>
      <c r="L756" s="3" t="s">
        <v>1826</v>
      </c>
      <c r="M756" s="3" t="s">
        <v>1827</v>
      </c>
      <c r="N756" s="3" t="s">
        <v>1883</v>
      </c>
    </row>
    <row r="757" spans="1:14" x14ac:dyDescent="0.45">
      <c r="A757" s="3" t="s">
        <v>535</v>
      </c>
      <c r="B757" s="3" t="s">
        <v>536</v>
      </c>
      <c r="C757" s="3" t="s">
        <v>1763</v>
      </c>
      <c r="D757" s="3"/>
      <c r="E757" s="3" t="s">
        <v>1280</v>
      </c>
      <c r="F757" s="79">
        <v>54</v>
      </c>
      <c r="G757" s="3" t="s">
        <v>1221</v>
      </c>
      <c r="H757" s="3" t="s">
        <v>1882</v>
      </c>
      <c r="I757" s="3"/>
      <c r="J757" s="3" t="s">
        <v>1260</v>
      </c>
      <c r="K757" s="3" t="s">
        <v>1261</v>
      </c>
      <c r="L757" s="3" t="s">
        <v>1262</v>
      </c>
      <c r="M757" s="3" t="s">
        <v>1263</v>
      </c>
      <c r="N757" s="3" t="s">
        <v>1700</v>
      </c>
    </row>
    <row r="758" spans="1:14" x14ac:dyDescent="0.45">
      <c r="A758" s="3" t="s">
        <v>535</v>
      </c>
      <c r="B758" s="3" t="s">
        <v>536</v>
      </c>
      <c r="C758" s="3" t="s">
        <v>1765</v>
      </c>
      <c r="D758" s="3"/>
      <c r="E758" s="3" t="s">
        <v>1238</v>
      </c>
      <c r="F758" s="79">
        <v>61</v>
      </c>
      <c r="G758" s="3" t="s">
        <v>1221</v>
      </c>
      <c r="H758" s="3" t="s">
        <v>1882</v>
      </c>
      <c r="I758" s="3"/>
      <c r="J758" s="3" t="s">
        <v>1224</v>
      </c>
      <c r="K758" s="3" t="s">
        <v>1232</v>
      </c>
      <c r="L758" s="3" t="s">
        <v>1233</v>
      </c>
      <c r="M758" s="3" t="s">
        <v>1234</v>
      </c>
      <c r="N758" s="3" t="s">
        <v>1857</v>
      </c>
    </row>
    <row r="759" spans="1:14" x14ac:dyDescent="0.45">
      <c r="A759" s="3" t="s">
        <v>535</v>
      </c>
      <c r="B759" s="3" t="s">
        <v>536</v>
      </c>
      <c r="C759" s="3" t="s">
        <v>1767</v>
      </c>
      <c r="D759" s="3"/>
      <c r="E759" s="3" t="s">
        <v>1288</v>
      </c>
      <c r="F759" s="79">
        <v>70</v>
      </c>
      <c r="G759" s="3" t="s">
        <v>1221</v>
      </c>
      <c r="H759" s="3" t="s">
        <v>1882</v>
      </c>
      <c r="I759" s="3"/>
      <c r="J759" s="3" t="s">
        <v>1260</v>
      </c>
      <c r="K759" s="3" t="s">
        <v>1267</v>
      </c>
      <c r="L759" s="3" t="s">
        <v>1268</v>
      </c>
      <c r="M759" s="3" t="s">
        <v>1269</v>
      </c>
      <c r="N759" s="3" t="s">
        <v>1750</v>
      </c>
    </row>
    <row r="760" spans="1:14" x14ac:dyDescent="0.45">
      <c r="A760" s="3" t="s">
        <v>535</v>
      </c>
      <c r="B760" s="3" t="s">
        <v>536</v>
      </c>
      <c r="C760" s="3" t="s">
        <v>1769</v>
      </c>
      <c r="D760" s="3"/>
      <c r="E760" s="3" t="s">
        <v>1295</v>
      </c>
      <c r="F760" s="79">
        <v>61</v>
      </c>
      <c r="G760" s="3" t="s">
        <v>1221</v>
      </c>
      <c r="H760" s="3" t="s">
        <v>1882</v>
      </c>
      <c r="I760" s="3"/>
      <c r="J760" s="3" t="s">
        <v>1260</v>
      </c>
      <c r="K760" s="3" t="s">
        <v>1274</v>
      </c>
      <c r="L760" s="3" t="s">
        <v>1275</v>
      </c>
      <c r="M760" s="3" t="s">
        <v>1276</v>
      </c>
      <c r="N760" s="3" t="s">
        <v>1857</v>
      </c>
    </row>
    <row r="761" spans="1:14" x14ac:dyDescent="0.45">
      <c r="A761" s="3" t="s">
        <v>535</v>
      </c>
      <c r="B761" s="3" t="s">
        <v>536</v>
      </c>
      <c r="C761" s="3" t="s">
        <v>1771</v>
      </c>
      <c r="D761" s="3"/>
      <c r="E761" s="3" t="s">
        <v>1302</v>
      </c>
      <c r="F761" s="79">
        <v>69</v>
      </c>
      <c r="G761" s="3" t="s">
        <v>1221</v>
      </c>
      <c r="H761" s="3" t="s">
        <v>1882</v>
      </c>
      <c r="I761" s="3"/>
      <c r="J761" s="3" t="s">
        <v>1260</v>
      </c>
      <c r="K761" s="3" t="s">
        <v>1281</v>
      </c>
      <c r="L761" s="3" t="s">
        <v>1282</v>
      </c>
      <c r="M761" s="3" t="s">
        <v>1283</v>
      </c>
      <c r="N761" s="3" t="s">
        <v>1843</v>
      </c>
    </row>
    <row r="762" spans="1:14" x14ac:dyDescent="0.45">
      <c r="A762" s="3" t="s">
        <v>535</v>
      </c>
      <c r="B762" s="3" t="s">
        <v>536</v>
      </c>
      <c r="C762" s="3" t="s">
        <v>1773</v>
      </c>
      <c r="D762" s="3"/>
      <c r="E762" s="3" t="s">
        <v>1245</v>
      </c>
      <c r="F762" s="79">
        <v>75</v>
      </c>
      <c r="G762" s="3" t="s">
        <v>1221</v>
      </c>
      <c r="H762" s="3" t="s">
        <v>1882</v>
      </c>
      <c r="I762" s="3"/>
      <c r="J762" s="3" t="s">
        <v>1224</v>
      </c>
      <c r="K762" s="3" t="s">
        <v>1239</v>
      </c>
      <c r="L762" s="3" t="s">
        <v>1240</v>
      </c>
      <c r="M762" s="3" t="s">
        <v>1241</v>
      </c>
      <c r="N762" s="3" t="s">
        <v>1564</v>
      </c>
    </row>
    <row r="763" spans="1:14" x14ac:dyDescent="0.45">
      <c r="A763" s="3" t="s">
        <v>535</v>
      </c>
      <c r="B763" s="3" t="s">
        <v>536</v>
      </c>
      <c r="C763" s="3" t="s">
        <v>1775</v>
      </c>
      <c r="D763" s="3"/>
      <c r="E763" s="3" t="s">
        <v>1310</v>
      </c>
      <c r="F763" s="79">
        <v>82</v>
      </c>
      <c r="G763" s="3" t="s">
        <v>1221</v>
      </c>
      <c r="H763" s="3" t="s">
        <v>1882</v>
      </c>
      <c r="I763" s="3"/>
      <c r="J763" s="3" t="s">
        <v>1260</v>
      </c>
      <c r="K763" s="3" t="s">
        <v>1289</v>
      </c>
      <c r="L763" s="3" t="s">
        <v>1290</v>
      </c>
      <c r="M763" s="3" t="s">
        <v>1291</v>
      </c>
      <c r="N763" s="3" t="s">
        <v>1560</v>
      </c>
    </row>
    <row r="764" spans="1:14" x14ac:dyDescent="0.45">
      <c r="A764" s="3" t="s">
        <v>535</v>
      </c>
      <c r="B764" s="3" t="s">
        <v>536</v>
      </c>
      <c r="C764" s="3" t="s">
        <v>1777</v>
      </c>
      <c r="D764" s="3"/>
      <c r="E764" s="3" t="s">
        <v>1317</v>
      </c>
      <c r="F764" s="79">
        <v>90</v>
      </c>
      <c r="G764" s="3" t="s">
        <v>1221</v>
      </c>
      <c r="H764" s="3" t="s">
        <v>1882</v>
      </c>
      <c r="I764" s="3"/>
      <c r="J764" s="3" t="s">
        <v>1260</v>
      </c>
      <c r="K764" s="3" t="s">
        <v>1296</v>
      </c>
      <c r="L764" s="3" t="s">
        <v>1297</v>
      </c>
      <c r="M764" s="3" t="s">
        <v>1298</v>
      </c>
      <c r="N764" s="3" t="s">
        <v>1284</v>
      </c>
    </row>
    <row r="765" spans="1:14" x14ac:dyDescent="0.45">
      <c r="A765" s="3" t="s">
        <v>535</v>
      </c>
      <c r="B765" s="3" t="s">
        <v>536</v>
      </c>
      <c r="C765" s="3" t="s">
        <v>1779</v>
      </c>
      <c r="D765" s="3"/>
      <c r="E765" s="3" t="s">
        <v>1324</v>
      </c>
      <c r="F765" s="79">
        <v>95</v>
      </c>
      <c r="G765" s="3" t="s">
        <v>1221</v>
      </c>
      <c r="H765" s="3" t="s">
        <v>1882</v>
      </c>
      <c r="I765" s="3"/>
      <c r="J765" s="3" t="s">
        <v>1260</v>
      </c>
      <c r="K765" s="3" t="s">
        <v>1303</v>
      </c>
      <c r="L765" s="3" t="s">
        <v>1304</v>
      </c>
      <c r="M765" s="3" t="s">
        <v>1305</v>
      </c>
      <c r="N765" s="3" t="s">
        <v>1693</v>
      </c>
    </row>
    <row r="766" spans="1:14" x14ac:dyDescent="0.45">
      <c r="A766" s="3" t="s">
        <v>535</v>
      </c>
      <c r="B766" s="3" t="s">
        <v>536</v>
      </c>
      <c r="C766" s="3" t="s">
        <v>1781</v>
      </c>
      <c r="D766" s="3"/>
      <c r="E766" s="3" t="s">
        <v>1252</v>
      </c>
      <c r="F766" s="79">
        <v>98</v>
      </c>
      <c r="G766" s="3" t="s">
        <v>1221</v>
      </c>
      <c r="H766" s="3" t="s">
        <v>1882</v>
      </c>
      <c r="I766" s="3"/>
      <c r="J766" s="3" t="s">
        <v>1224</v>
      </c>
      <c r="K766" s="3" t="s">
        <v>1246</v>
      </c>
      <c r="L766" s="3" t="s">
        <v>1247</v>
      </c>
      <c r="M766" s="3" t="s">
        <v>1248</v>
      </c>
      <c r="N766" s="3" t="s">
        <v>1562</v>
      </c>
    </row>
    <row r="767" spans="1:14" x14ac:dyDescent="0.45">
      <c r="A767" s="3" t="s">
        <v>535</v>
      </c>
      <c r="B767" s="3" t="s">
        <v>536</v>
      </c>
      <c r="C767" s="3" t="s">
        <v>1783</v>
      </c>
      <c r="D767" s="3"/>
      <c r="E767" s="3" t="s">
        <v>1332</v>
      </c>
      <c r="F767" s="79">
        <v>93</v>
      </c>
      <c r="G767" s="3" t="s">
        <v>1221</v>
      </c>
      <c r="H767" s="3" t="s">
        <v>1882</v>
      </c>
      <c r="I767" s="3"/>
      <c r="J767" s="3" t="s">
        <v>1260</v>
      </c>
      <c r="K767" s="3" t="s">
        <v>1311</v>
      </c>
      <c r="L767" s="3" t="s">
        <v>1312</v>
      </c>
      <c r="M767" s="3" t="s">
        <v>1313</v>
      </c>
      <c r="N767" s="3" t="s">
        <v>1884</v>
      </c>
    </row>
    <row r="768" spans="1:14" x14ac:dyDescent="0.45">
      <c r="A768" s="3" t="s">
        <v>535</v>
      </c>
      <c r="B768" s="3" t="s">
        <v>536</v>
      </c>
      <c r="C768" s="3" t="s">
        <v>1785</v>
      </c>
      <c r="D768" s="3"/>
      <c r="E768" s="3" t="s">
        <v>1339</v>
      </c>
      <c r="F768" s="79">
        <v>96</v>
      </c>
      <c r="G768" s="3" t="s">
        <v>1221</v>
      </c>
      <c r="H768" s="3" t="s">
        <v>1882</v>
      </c>
      <c r="I768" s="3"/>
      <c r="J768" s="3" t="s">
        <v>1260</v>
      </c>
      <c r="K768" s="3" t="s">
        <v>1318</v>
      </c>
      <c r="L768" s="3" t="s">
        <v>1319</v>
      </c>
      <c r="M768" s="3" t="s">
        <v>1320</v>
      </c>
      <c r="N768" s="3" t="s">
        <v>1561</v>
      </c>
    </row>
    <row r="769" spans="1:14" x14ac:dyDescent="0.45">
      <c r="A769" s="3" t="s">
        <v>535</v>
      </c>
      <c r="B769" s="3" t="s">
        <v>536</v>
      </c>
      <c r="C769" s="3" t="s">
        <v>1787</v>
      </c>
      <c r="D769" s="3"/>
      <c r="E769" s="3" t="s">
        <v>1346</v>
      </c>
      <c r="F769" s="79">
        <v>100</v>
      </c>
      <c r="G769" s="3" t="s">
        <v>1221</v>
      </c>
      <c r="H769" s="3" t="s">
        <v>1882</v>
      </c>
      <c r="I769" s="3"/>
      <c r="J769" s="3" t="s">
        <v>1260</v>
      </c>
      <c r="K769" s="3" t="s">
        <v>1325</v>
      </c>
      <c r="L769" s="3" t="s">
        <v>1326</v>
      </c>
      <c r="M769" s="3" t="s">
        <v>1327</v>
      </c>
      <c r="N769" s="3" t="s">
        <v>1524</v>
      </c>
    </row>
    <row r="770" spans="1:14" x14ac:dyDescent="0.45">
      <c r="A770" s="3" t="s">
        <v>535</v>
      </c>
      <c r="B770" s="3" t="s">
        <v>536</v>
      </c>
      <c r="C770" s="3" t="s">
        <v>1789</v>
      </c>
      <c r="D770" s="3"/>
      <c r="E770" s="3" t="s">
        <v>1256</v>
      </c>
      <c r="F770" s="79">
        <v>132</v>
      </c>
      <c r="G770" s="3" t="s">
        <v>1221</v>
      </c>
      <c r="H770" s="3" t="s">
        <v>1882</v>
      </c>
      <c r="I770" s="3"/>
      <c r="J770" s="3" t="s">
        <v>1260</v>
      </c>
      <c r="K770" s="3" t="s">
        <v>1340</v>
      </c>
      <c r="L770" s="3" t="s">
        <v>1341</v>
      </c>
      <c r="M770" s="3" t="s">
        <v>1342</v>
      </c>
      <c r="N770" s="3" t="s">
        <v>1715</v>
      </c>
    </row>
    <row r="771" spans="1:14" x14ac:dyDescent="0.45">
      <c r="A771" s="3" t="s">
        <v>535</v>
      </c>
      <c r="B771" s="3" t="s">
        <v>536</v>
      </c>
      <c r="C771" s="3" t="s">
        <v>1791</v>
      </c>
      <c r="D771" s="3"/>
      <c r="E771" s="3" t="s">
        <v>1352</v>
      </c>
      <c r="F771" s="79">
        <v>114</v>
      </c>
      <c r="G771" s="3" t="s">
        <v>1221</v>
      </c>
      <c r="H771" s="3" t="s">
        <v>1882</v>
      </c>
      <c r="I771" s="3"/>
      <c r="J771" s="3" t="s">
        <v>1260</v>
      </c>
      <c r="K771" s="3" t="s">
        <v>1333</v>
      </c>
      <c r="L771" s="3" t="s">
        <v>1334</v>
      </c>
      <c r="M771" s="3" t="s">
        <v>1335</v>
      </c>
      <c r="N771" s="3" t="s">
        <v>1851</v>
      </c>
    </row>
    <row r="772" spans="1:14" x14ac:dyDescent="0.45">
      <c r="A772" s="3" t="s">
        <v>535</v>
      </c>
      <c r="B772" s="3" t="s">
        <v>536</v>
      </c>
      <c r="C772" s="3" t="s">
        <v>1793</v>
      </c>
      <c r="D772" s="3"/>
      <c r="E772" s="3" t="s">
        <v>1356</v>
      </c>
      <c r="F772" s="79">
        <v>149</v>
      </c>
      <c r="G772" s="3" t="s">
        <v>1221</v>
      </c>
      <c r="H772" s="3" t="s">
        <v>1882</v>
      </c>
      <c r="I772" s="3"/>
      <c r="J772" s="3" t="s">
        <v>1260</v>
      </c>
      <c r="K772" s="3" t="s">
        <v>1340</v>
      </c>
      <c r="L772" s="3" t="s">
        <v>1341</v>
      </c>
      <c r="M772" s="3" t="s">
        <v>1342</v>
      </c>
      <c r="N772" s="3" t="s">
        <v>1885</v>
      </c>
    </row>
    <row r="773" spans="1:14" x14ac:dyDescent="0.45">
      <c r="A773" s="3" t="s">
        <v>1164</v>
      </c>
      <c r="B773" s="3" t="s">
        <v>1165</v>
      </c>
      <c r="C773" s="3" t="s">
        <v>1755</v>
      </c>
      <c r="D773" s="3"/>
      <c r="E773" s="3" t="s">
        <v>1220</v>
      </c>
      <c r="F773" s="79">
        <v>7</v>
      </c>
      <c r="G773" s="3" t="s">
        <v>1221</v>
      </c>
      <c r="H773" s="3" t="s">
        <v>1886</v>
      </c>
      <c r="I773" s="3"/>
      <c r="J773" s="3" t="s">
        <v>1224</v>
      </c>
      <c r="K773" s="3" t="s">
        <v>1817</v>
      </c>
      <c r="L773" s="3" t="s">
        <v>1818</v>
      </c>
      <c r="M773" s="3" t="s">
        <v>1819</v>
      </c>
      <c r="N773" s="3" t="s">
        <v>1574</v>
      </c>
    </row>
    <row r="774" spans="1:14" x14ac:dyDescent="0.45">
      <c r="A774" s="3" t="s">
        <v>1164</v>
      </c>
      <c r="B774" s="3" t="s">
        <v>1165</v>
      </c>
      <c r="C774" s="3" t="s">
        <v>1757</v>
      </c>
      <c r="D774" s="3"/>
      <c r="E774" s="3" t="s">
        <v>1231</v>
      </c>
      <c r="F774" s="79">
        <v>16</v>
      </c>
      <c r="G774" s="3" t="s">
        <v>1221</v>
      </c>
      <c r="H774" s="3" t="s">
        <v>1886</v>
      </c>
      <c r="I774" s="3"/>
      <c r="J774" s="3" t="s">
        <v>1224</v>
      </c>
      <c r="K774" s="3" t="s">
        <v>1225</v>
      </c>
      <c r="L774" s="3" t="s">
        <v>1226</v>
      </c>
      <c r="M774" s="3" t="s">
        <v>1227</v>
      </c>
      <c r="N774" s="3" t="s">
        <v>1603</v>
      </c>
    </row>
    <row r="775" spans="1:14" x14ac:dyDescent="0.45">
      <c r="A775" s="3" t="s">
        <v>1164</v>
      </c>
      <c r="B775" s="3" t="s">
        <v>1165</v>
      </c>
      <c r="C775" s="3" t="s">
        <v>1759</v>
      </c>
      <c r="D775" s="3"/>
      <c r="E775" s="3" t="s">
        <v>1266</v>
      </c>
      <c r="F775" s="79">
        <v>15</v>
      </c>
      <c r="G775" s="3" t="s">
        <v>1221</v>
      </c>
      <c r="H775" s="3" t="s">
        <v>1886</v>
      </c>
      <c r="I775" s="3"/>
      <c r="J775" s="3" t="s">
        <v>1260</v>
      </c>
      <c r="K775" s="3" t="s">
        <v>1821</v>
      </c>
      <c r="L775" s="3" t="s">
        <v>1822</v>
      </c>
      <c r="M775" s="3" t="s">
        <v>1823</v>
      </c>
      <c r="N775" s="3" t="s">
        <v>1887</v>
      </c>
    </row>
    <row r="776" spans="1:14" x14ac:dyDescent="0.45">
      <c r="A776" s="3" t="s">
        <v>1164</v>
      </c>
      <c r="B776" s="3" t="s">
        <v>1165</v>
      </c>
      <c r="C776" s="3" t="s">
        <v>1761</v>
      </c>
      <c r="D776" s="3"/>
      <c r="E776" s="3" t="s">
        <v>1273</v>
      </c>
      <c r="F776" s="79">
        <v>13</v>
      </c>
      <c r="G776" s="3" t="s">
        <v>1221</v>
      </c>
      <c r="H776" s="3" t="s">
        <v>1886</v>
      </c>
      <c r="I776" s="3"/>
      <c r="J776" s="3" t="s">
        <v>1260</v>
      </c>
      <c r="K776" s="3" t="s">
        <v>1825</v>
      </c>
      <c r="L776" s="3" t="s">
        <v>1826</v>
      </c>
      <c r="M776" s="3" t="s">
        <v>1827</v>
      </c>
      <c r="N776" s="3" t="s">
        <v>1628</v>
      </c>
    </row>
    <row r="777" spans="1:14" x14ac:dyDescent="0.45">
      <c r="A777" s="3" t="s">
        <v>1164</v>
      </c>
      <c r="B777" s="3" t="s">
        <v>1165</v>
      </c>
      <c r="C777" s="3" t="s">
        <v>1763</v>
      </c>
      <c r="D777" s="3"/>
      <c r="E777" s="3" t="s">
        <v>1280</v>
      </c>
      <c r="F777" s="79">
        <v>31</v>
      </c>
      <c r="G777" s="3" t="s">
        <v>1221</v>
      </c>
      <c r="H777" s="3" t="s">
        <v>1886</v>
      </c>
      <c r="I777" s="3"/>
      <c r="J777" s="3" t="s">
        <v>1260</v>
      </c>
      <c r="K777" s="3" t="s">
        <v>1261</v>
      </c>
      <c r="L777" s="3" t="s">
        <v>1262</v>
      </c>
      <c r="M777" s="3" t="s">
        <v>1263</v>
      </c>
      <c r="N777" s="3" t="s">
        <v>1721</v>
      </c>
    </row>
    <row r="778" spans="1:14" x14ac:dyDescent="0.45">
      <c r="A778" s="3" t="s">
        <v>1164</v>
      </c>
      <c r="B778" s="3" t="s">
        <v>1165</v>
      </c>
      <c r="C778" s="3" t="s">
        <v>1765</v>
      </c>
      <c r="D778" s="3"/>
      <c r="E778" s="3" t="s">
        <v>1238</v>
      </c>
      <c r="F778" s="79">
        <v>29</v>
      </c>
      <c r="G778" s="3" t="s">
        <v>1221</v>
      </c>
      <c r="H778" s="3" t="s">
        <v>1886</v>
      </c>
      <c r="I778" s="3"/>
      <c r="J778" s="3" t="s">
        <v>1224</v>
      </c>
      <c r="K778" s="3" t="s">
        <v>1232</v>
      </c>
      <c r="L778" s="3" t="s">
        <v>1233</v>
      </c>
      <c r="M778" s="3" t="s">
        <v>1234</v>
      </c>
      <c r="N778" s="3" t="s">
        <v>1418</v>
      </c>
    </row>
    <row r="779" spans="1:14" x14ac:dyDescent="0.45">
      <c r="A779" s="3" t="s">
        <v>1164</v>
      </c>
      <c r="B779" s="3" t="s">
        <v>1165</v>
      </c>
      <c r="C779" s="3" t="s">
        <v>1767</v>
      </c>
      <c r="D779" s="3"/>
      <c r="E779" s="3" t="s">
        <v>1288</v>
      </c>
      <c r="F779" s="79">
        <v>31</v>
      </c>
      <c r="G779" s="3" t="s">
        <v>1221</v>
      </c>
      <c r="H779" s="3" t="s">
        <v>1886</v>
      </c>
      <c r="I779" s="3"/>
      <c r="J779" s="3" t="s">
        <v>1260</v>
      </c>
      <c r="K779" s="3" t="s">
        <v>1267</v>
      </c>
      <c r="L779" s="3" t="s">
        <v>1268</v>
      </c>
      <c r="M779" s="3" t="s">
        <v>1269</v>
      </c>
      <c r="N779" s="3" t="s">
        <v>1721</v>
      </c>
    </row>
    <row r="780" spans="1:14" x14ac:dyDescent="0.45">
      <c r="A780" s="3" t="s">
        <v>1164</v>
      </c>
      <c r="B780" s="3" t="s">
        <v>1165</v>
      </c>
      <c r="C780" s="3" t="s">
        <v>1769</v>
      </c>
      <c r="D780" s="3"/>
      <c r="E780" s="3" t="s">
        <v>1295</v>
      </c>
      <c r="F780" s="79">
        <v>30</v>
      </c>
      <c r="G780" s="3" t="s">
        <v>1221</v>
      </c>
      <c r="H780" s="3" t="s">
        <v>1886</v>
      </c>
      <c r="I780" s="3"/>
      <c r="J780" s="3" t="s">
        <v>1260</v>
      </c>
      <c r="K780" s="3" t="s">
        <v>1274</v>
      </c>
      <c r="L780" s="3" t="s">
        <v>1275</v>
      </c>
      <c r="M780" s="3" t="s">
        <v>1276</v>
      </c>
      <c r="N780" s="3" t="s">
        <v>1627</v>
      </c>
    </row>
    <row r="781" spans="1:14" x14ac:dyDescent="0.45">
      <c r="A781" s="3" t="s">
        <v>1164</v>
      </c>
      <c r="B781" s="3" t="s">
        <v>1165</v>
      </c>
      <c r="C781" s="3" t="s">
        <v>1771</v>
      </c>
      <c r="D781" s="3"/>
      <c r="E781" s="3" t="s">
        <v>1302</v>
      </c>
      <c r="F781" s="79">
        <v>28</v>
      </c>
      <c r="G781" s="3" t="s">
        <v>1221</v>
      </c>
      <c r="H781" s="3" t="s">
        <v>1886</v>
      </c>
      <c r="I781" s="3"/>
      <c r="J781" s="3" t="s">
        <v>1260</v>
      </c>
      <c r="K781" s="3" t="s">
        <v>1281</v>
      </c>
      <c r="L781" s="3" t="s">
        <v>1282</v>
      </c>
      <c r="M781" s="3" t="s">
        <v>1283</v>
      </c>
      <c r="N781" s="3" t="s">
        <v>1718</v>
      </c>
    </row>
    <row r="782" spans="1:14" x14ac:dyDescent="0.45">
      <c r="A782" s="3" t="s">
        <v>1164</v>
      </c>
      <c r="B782" s="3" t="s">
        <v>1165</v>
      </c>
      <c r="C782" s="3" t="s">
        <v>1773</v>
      </c>
      <c r="D782" s="3"/>
      <c r="E782" s="3" t="s">
        <v>1245</v>
      </c>
      <c r="F782" s="79">
        <v>26</v>
      </c>
      <c r="G782" s="3" t="s">
        <v>1221</v>
      </c>
      <c r="H782" s="3" t="s">
        <v>1886</v>
      </c>
      <c r="I782" s="3"/>
      <c r="J782" s="3" t="s">
        <v>1224</v>
      </c>
      <c r="K782" s="3" t="s">
        <v>1239</v>
      </c>
      <c r="L782" s="3" t="s">
        <v>1240</v>
      </c>
      <c r="M782" s="3" t="s">
        <v>1241</v>
      </c>
      <c r="N782" s="3" t="s">
        <v>1888</v>
      </c>
    </row>
    <row r="783" spans="1:14" x14ac:dyDescent="0.45">
      <c r="A783" s="3" t="s">
        <v>1164</v>
      </c>
      <c r="B783" s="3" t="s">
        <v>1165</v>
      </c>
      <c r="C783" s="3" t="s">
        <v>1775</v>
      </c>
      <c r="D783" s="3"/>
      <c r="E783" s="3" t="s">
        <v>1310</v>
      </c>
      <c r="F783" s="79">
        <v>25</v>
      </c>
      <c r="G783" s="3" t="s">
        <v>1221</v>
      </c>
      <c r="H783" s="3" t="s">
        <v>1886</v>
      </c>
      <c r="I783" s="3"/>
      <c r="J783" s="3" t="s">
        <v>1260</v>
      </c>
      <c r="K783" s="3" t="s">
        <v>1289</v>
      </c>
      <c r="L783" s="3" t="s">
        <v>1290</v>
      </c>
      <c r="M783" s="3" t="s">
        <v>1291</v>
      </c>
      <c r="N783" s="3" t="s">
        <v>1416</v>
      </c>
    </row>
    <row r="784" spans="1:14" x14ac:dyDescent="0.45">
      <c r="A784" s="3" t="s">
        <v>1164</v>
      </c>
      <c r="B784" s="3" t="s">
        <v>1165</v>
      </c>
      <c r="C784" s="3" t="s">
        <v>1777</v>
      </c>
      <c r="D784" s="3"/>
      <c r="E784" s="3" t="s">
        <v>1317</v>
      </c>
      <c r="F784" s="79">
        <v>23</v>
      </c>
      <c r="G784" s="3" t="s">
        <v>1221</v>
      </c>
      <c r="H784" s="3" t="s">
        <v>1886</v>
      </c>
      <c r="I784" s="3"/>
      <c r="J784" s="3" t="s">
        <v>1260</v>
      </c>
      <c r="K784" s="3" t="s">
        <v>1296</v>
      </c>
      <c r="L784" s="3" t="s">
        <v>1297</v>
      </c>
      <c r="M784" s="3" t="s">
        <v>1298</v>
      </c>
      <c r="N784" s="3" t="s">
        <v>1682</v>
      </c>
    </row>
    <row r="785" spans="1:14" x14ac:dyDescent="0.45">
      <c r="A785" s="3" t="s">
        <v>1164</v>
      </c>
      <c r="B785" s="3" t="s">
        <v>1165</v>
      </c>
      <c r="C785" s="3" t="s">
        <v>1779</v>
      </c>
      <c r="D785" s="3"/>
      <c r="E785" s="3" t="s">
        <v>1324</v>
      </c>
      <c r="F785" s="79">
        <v>22</v>
      </c>
      <c r="G785" s="3" t="s">
        <v>1221</v>
      </c>
      <c r="H785" s="3" t="s">
        <v>1886</v>
      </c>
      <c r="I785" s="3"/>
      <c r="J785" s="3" t="s">
        <v>1260</v>
      </c>
      <c r="K785" s="3" t="s">
        <v>1303</v>
      </c>
      <c r="L785" s="3" t="s">
        <v>1304</v>
      </c>
      <c r="M785" s="3" t="s">
        <v>1305</v>
      </c>
      <c r="N785" s="3" t="s">
        <v>1634</v>
      </c>
    </row>
    <row r="786" spans="1:14" x14ac:dyDescent="0.45">
      <c r="A786" s="3" t="s">
        <v>1164</v>
      </c>
      <c r="B786" s="3" t="s">
        <v>1165</v>
      </c>
      <c r="C786" s="3" t="s">
        <v>1781</v>
      </c>
      <c r="D786" s="3"/>
      <c r="E786" s="3" t="s">
        <v>1252</v>
      </c>
      <c r="F786" s="79">
        <v>20</v>
      </c>
      <c r="G786" s="3" t="s">
        <v>1221</v>
      </c>
      <c r="H786" s="3" t="s">
        <v>1886</v>
      </c>
      <c r="I786" s="3"/>
      <c r="J786" s="3" t="s">
        <v>1224</v>
      </c>
      <c r="K786" s="3" t="s">
        <v>1246</v>
      </c>
      <c r="L786" s="3" t="s">
        <v>1247</v>
      </c>
      <c r="M786" s="3" t="s">
        <v>1248</v>
      </c>
      <c r="N786" s="3" t="s">
        <v>1889</v>
      </c>
    </row>
    <row r="787" spans="1:14" x14ac:dyDescent="0.45">
      <c r="A787" s="3" t="s">
        <v>1164</v>
      </c>
      <c r="B787" s="3" t="s">
        <v>1165</v>
      </c>
      <c r="C787" s="3" t="s">
        <v>1783</v>
      </c>
      <c r="D787" s="3"/>
      <c r="E787" s="3" t="s">
        <v>1332</v>
      </c>
      <c r="F787" s="79">
        <v>19</v>
      </c>
      <c r="G787" s="3" t="s">
        <v>1221</v>
      </c>
      <c r="H787" s="3" t="s">
        <v>1886</v>
      </c>
      <c r="I787" s="3"/>
      <c r="J787" s="3" t="s">
        <v>1260</v>
      </c>
      <c r="K787" s="3" t="s">
        <v>1311</v>
      </c>
      <c r="L787" s="3" t="s">
        <v>1312</v>
      </c>
      <c r="M787" s="3" t="s">
        <v>1313</v>
      </c>
      <c r="N787" s="3" t="s">
        <v>1661</v>
      </c>
    </row>
    <row r="788" spans="1:14" x14ac:dyDescent="0.45">
      <c r="A788" s="3" t="s">
        <v>1164</v>
      </c>
      <c r="B788" s="3" t="s">
        <v>1165</v>
      </c>
      <c r="C788" s="3" t="s">
        <v>1785</v>
      </c>
      <c r="D788" s="3"/>
      <c r="E788" s="3" t="s">
        <v>1339</v>
      </c>
      <c r="F788" s="79">
        <v>17</v>
      </c>
      <c r="G788" s="3" t="s">
        <v>1221</v>
      </c>
      <c r="H788" s="3" t="s">
        <v>1886</v>
      </c>
      <c r="I788" s="3"/>
      <c r="J788" s="3" t="s">
        <v>1260</v>
      </c>
      <c r="K788" s="3" t="s">
        <v>1318</v>
      </c>
      <c r="L788" s="3" t="s">
        <v>1319</v>
      </c>
      <c r="M788" s="3" t="s">
        <v>1320</v>
      </c>
      <c r="N788" s="3" t="s">
        <v>1722</v>
      </c>
    </row>
    <row r="789" spans="1:14" x14ac:dyDescent="0.45">
      <c r="A789" s="3" t="s">
        <v>1164</v>
      </c>
      <c r="B789" s="3" t="s">
        <v>1165</v>
      </c>
      <c r="C789" s="3" t="s">
        <v>1787</v>
      </c>
      <c r="D789" s="3"/>
      <c r="E789" s="3" t="s">
        <v>1346</v>
      </c>
      <c r="F789" s="79">
        <v>16</v>
      </c>
      <c r="G789" s="3" t="s">
        <v>1221</v>
      </c>
      <c r="H789" s="3" t="s">
        <v>1886</v>
      </c>
      <c r="I789" s="3"/>
      <c r="J789" s="3" t="s">
        <v>1260</v>
      </c>
      <c r="K789" s="3" t="s">
        <v>1325</v>
      </c>
      <c r="L789" s="3" t="s">
        <v>1326</v>
      </c>
      <c r="M789" s="3" t="s">
        <v>1327</v>
      </c>
      <c r="N789" s="3" t="s">
        <v>1603</v>
      </c>
    </row>
    <row r="790" spans="1:14" x14ac:dyDescent="0.45">
      <c r="A790" s="3" t="s">
        <v>1164</v>
      </c>
      <c r="B790" s="3" t="s">
        <v>1165</v>
      </c>
      <c r="C790" s="3" t="s">
        <v>1789</v>
      </c>
      <c r="D790" s="3"/>
      <c r="E790" s="3" t="s">
        <v>1256</v>
      </c>
      <c r="F790" s="79">
        <v>14</v>
      </c>
      <c r="G790" s="3" t="s">
        <v>1221</v>
      </c>
      <c r="H790" s="3" t="s">
        <v>1886</v>
      </c>
      <c r="I790" s="3"/>
      <c r="J790" s="3" t="s">
        <v>1260</v>
      </c>
      <c r="K790" s="3" t="s">
        <v>1340</v>
      </c>
      <c r="L790" s="3" t="s">
        <v>1341</v>
      </c>
      <c r="M790" s="3" t="s">
        <v>1342</v>
      </c>
      <c r="N790" s="3" t="s">
        <v>1645</v>
      </c>
    </row>
    <row r="791" spans="1:14" x14ac:dyDescent="0.45">
      <c r="A791" s="3" t="s">
        <v>1164</v>
      </c>
      <c r="B791" s="3" t="s">
        <v>1165</v>
      </c>
      <c r="C791" s="3" t="s">
        <v>1791</v>
      </c>
      <c r="D791" s="3"/>
      <c r="E791" s="3" t="s">
        <v>1352</v>
      </c>
      <c r="F791" s="79">
        <v>13</v>
      </c>
      <c r="G791" s="3" t="s">
        <v>1221</v>
      </c>
      <c r="H791" s="3" t="s">
        <v>1886</v>
      </c>
      <c r="I791" s="3"/>
      <c r="J791" s="3" t="s">
        <v>1260</v>
      </c>
      <c r="K791" s="3" t="s">
        <v>1333</v>
      </c>
      <c r="L791" s="3" t="s">
        <v>1334</v>
      </c>
      <c r="M791" s="3" t="s">
        <v>1335</v>
      </c>
      <c r="N791" s="3" t="s">
        <v>1628</v>
      </c>
    </row>
    <row r="792" spans="1:14" x14ac:dyDescent="0.45">
      <c r="A792" s="3" t="s">
        <v>1164</v>
      </c>
      <c r="B792" s="3" t="s">
        <v>1165</v>
      </c>
      <c r="C792" s="3" t="s">
        <v>1793</v>
      </c>
      <c r="D792" s="3"/>
      <c r="E792" s="3" t="s">
        <v>1356</v>
      </c>
      <c r="F792" s="79">
        <v>11</v>
      </c>
      <c r="G792" s="3" t="s">
        <v>1221</v>
      </c>
      <c r="H792" s="3" t="s">
        <v>1886</v>
      </c>
      <c r="I792" s="3"/>
      <c r="J792" s="3" t="s">
        <v>1260</v>
      </c>
      <c r="K792" s="3" t="s">
        <v>1340</v>
      </c>
      <c r="L792" s="3" t="s">
        <v>1341</v>
      </c>
      <c r="M792" s="3" t="s">
        <v>1342</v>
      </c>
      <c r="N792" s="3" t="s">
        <v>1621</v>
      </c>
    </row>
    <row r="793" spans="1:14" x14ac:dyDescent="0.45">
      <c r="A793" s="3" t="s">
        <v>1166</v>
      </c>
      <c r="B793" s="3" t="s">
        <v>1167</v>
      </c>
      <c r="C793" s="3" t="s">
        <v>1755</v>
      </c>
      <c r="D793" s="3"/>
      <c r="E793" s="3" t="s">
        <v>1220</v>
      </c>
      <c r="F793" s="79">
        <v>36</v>
      </c>
      <c r="G793" s="3" t="s">
        <v>1221</v>
      </c>
      <c r="H793" s="3" t="s">
        <v>1890</v>
      </c>
      <c r="I793" s="3"/>
      <c r="J793" s="3" t="s">
        <v>1224</v>
      </c>
      <c r="K793" s="3" t="s">
        <v>1225</v>
      </c>
      <c r="L793" s="3" t="s">
        <v>1226</v>
      </c>
      <c r="M793" s="3" t="s">
        <v>1227</v>
      </c>
      <c r="N793" s="3" t="s">
        <v>1420</v>
      </c>
    </row>
    <row r="794" spans="1:14" x14ac:dyDescent="0.45">
      <c r="A794" s="3" t="s">
        <v>1166</v>
      </c>
      <c r="B794" s="3" t="s">
        <v>1167</v>
      </c>
      <c r="C794" s="3" t="s">
        <v>1757</v>
      </c>
      <c r="D794" s="3"/>
      <c r="E794" s="3" t="s">
        <v>1231</v>
      </c>
      <c r="F794" s="79">
        <v>74</v>
      </c>
      <c r="G794" s="3" t="s">
        <v>1221</v>
      </c>
      <c r="H794" s="3" t="s">
        <v>1890</v>
      </c>
      <c r="I794" s="3"/>
      <c r="J794" s="3" t="s">
        <v>1224</v>
      </c>
      <c r="K794" s="3" t="s">
        <v>1232</v>
      </c>
      <c r="L794" s="3" t="s">
        <v>1233</v>
      </c>
      <c r="M794" s="3" t="s">
        <v>1234</v>
      </c>
      <c r="N794" s="3" t="s">
        <v>1540</v>
      </c>
    </row>
    <row r="795" spans="1:14" x14ac:dyDescent="0.45">
      <c r="A795" s="3" t="s">
        <v>1166</v>
      </c>
      <c r="B795" s="3" t="s">
        <v>1167</v>
      </c>
      <c r="C795" s="3" t="s">
        <v>1759</v>
      </c>
      <c r="D795" s="3"/>
      <c r="E795" s="3" t="s">
        <v>1266</v>
      </c>
      <c r="F795" s="79">
        <v>74</v>
      </c>
      <c r="G795" s="3" t="s">
        <v>1221</v>
      </c>
      <c r="H795" s="3" t="s">
        <v>1890</v>
      </c>
      <c r="I795" s="3"/>
      <c r="J795" s="3" t="s">
        <v>1260</v>
      </c>
      <c r="K795" s="3" t="s">
        <v>1821</v>
      </c>
      <c r="L795" s="3" t="s">
        <v>1822</v>
      </c>
      <c r="M795" s="3" t="s">
        <v>1823</v>
      </c>
      <c r="N795" s="3" t="s">
        <v>1540</v>
      </c>
    </row>
    <row r="796" spans="1:14" x14ac:dyDescent="0.45">
      <c r="A796" s="3" t="s">
        <v>1166</v>
      </c>
      <c r="B796" s="3" t="s">
        <v>1167</v>
      </c>
      <c r="C796" s="3" t="s">
        <v>1761</v>
      </c>
      <c r="D796" s="3"/>
      <c r="E796" s="3" t="s">
        <v>1273</v>
      </c>
      <c r="F796" s="79">
        <v>74</v>
      </c>
      <c r="G796" s="3" t="s">
        <v>1221</v>
      </c>
      <c r="H796" s="3" t="s">
        <v>1890</v>
      </c>
      <c r="I796" s="3"/>
      <c r="J796" s="3" t="s">
        <v>1260</v>
      </c>
      <c r="K796" s="3" t="s">
        <v>1825</v>
      </c>
      <c r="L796" s="3" t="s">
        <v>1826</v>
      </c>
      <c r="M796" s="3" t="s">
        <v>1827</v>
      </c>
      <c r="N796" s="3" t="s">
        <v>1540</v>
      </c>
    </row>
    <row r="797" spans="1:14" x14ac:dyDescent="0.45">
      <c r="A797" s="3" t="s">
        <v>1166</v>
      </c>
      <c r="B797" s="3" t="s">
        <v>1167</v>
      </c>
      <c r="C797" s="3" t="s">
        <v>1763</v>
      </c>
      <c r="D797" s="3"/>
      <c r="E797" s="3" t="s">
        <v>1280</v>
      </c>
      <c r="F797" s="79">
        <v>107</v>
      </c>
      <c r="G797" s="3" t="s">
        <v>1221</v>
      </c>
      <c r="H797" s="3" t="s">
        <v>1890</v>
      </c>
      <c r="I797" s="3"/>
      <c r="J797" s="3" t="s">
        <v>1260</v>
      </c>
      <c r="K797" s="3" t="s">
        <v>1261</v>
      </c>
      <c r="L797" s="3" t="s">
        <v>1262</v>
      </c>
      <c r="M797" s="3" t="s">
        <v>1263</v>
      </c>
      <c r="N797" s="3" t="s">
        <v>1292</v>
      </c>
    </row>
    <row r="798" spans="1:14" x14ac:dyDescent="0.45">
      <c r="A798" s="3" t="s">
        <v>1166</v>
      </c>
      <c r="B798" s="3" t="s">
        <v>1167</v>
      </c>
      <c r="C798" s="3" t="s">
        <v>1765</v>
      </c>
      <c r="D798" s="3"/>
      <c r="E798" s="3" t="s">
        <v>1238</v>
      </c>
      <c r="F798" s="79">
        <v>107</v>
      </c>
      <c r="G798" s="3" t="s">
        <v>1221</v>
      </c>
      <c r="H798" s="3" t="s">
        <v>1890</v>
      </c>
      <c r="I798" s="3"/>
      <c r="J798" s="3" t="s">
        <v>1224</v>
      </c>
      <c r="K798" s="3" t="s">
        <v>1239</v>
      </c>
      <c r="L798" s="3" t="s">
        <v>1240</v>
      </c>
      <c r="M798" s="3" t="s">
        <v>1241</v>
      </c>
      <c r="N798" s="3" t="s">
        <v>1292</v>
      </c>
    </row>
    <row r="799" spans="1:14" x14ac:dyDescent="0.45">
      <c r="A799" s="3" t="s">
        <v>1166</v>
      </c>
      <c r="B799" s="3" t="s">
        <v>1167</v>
      </c>
      <c r="C799" s="3" t="s">
        <v>1767</v>
      </c>
      <c r="D799" s="3"/>
      <c r="E799" s="3" t="s">
        <v>1288</v>
      </c>
      <c r="F799" s="79">
        <v>113</v>
      </c>
      <c r="G799" s="3" t="s">
        <v>1221</v>
      </c>
      <c r="H799" s="3" t="s">
        <v>1890</v>
      </c>
      <c r="I799" s="3"/>
      <c r="J799" s="3" t="s">
        <v>1260</v>
      </c>
      <c r="K799" s="3" t="s">
        <v>1267</v>
      </c>
      <c r="L799" s="3" t="s">
        <v>1268</v>
      </c>
      <c r="M799" s="3" t="s">
        <v>1269</v>
      </c>
      <c r="N799" s="3" t="s">
        <v>1495</v>
      </c>
    </row>
    <row r="800" spans="1:14" x14ac:dyDescent="0.45">
      <c r="A800" s="3" t="s">
        <v>1166</v>
      </c>
      <c r="B800" s="3" t="s">
        <v>1167</v>
      </c>
      <c r="C800" s="3" t="s">
        <v>1769</v>
      </c>
      <c r="D800" s="3"/>
      <c r="E800" s="3" t="s">
        <v>1295</v>
      </c>
      <c r="F800" s="79">
        <v>113</v>
      </c>
      <c r="G800" s="3" t="s">
        <v>1221</v>
      </c>
      <c r="H800" s="3" t="s">
        <v>1890</v>
      </c>
      <c r="I800" s="3"/>
      <c r="J800" s="3" t="s">
        <v>1260</v>
      </c>
      <c r="K800" s="3" t="s">
        <v>1274</v>
      </c>
      <c r="L800" s="3" t="s">
        <v>1275</v>
      </c>
      <c r="M800" s="3" t="s">
        <v>1276</v>
      </c>
      <c r="N800" s="3" t="s">
        <v>1495</v>
      </c>
    </row>
    <row r="801" spans="1:14" x14ac:dyDescent="0.45">
      <c r="A801" s="3" t="s">
        <v>1166</v>
      </c>
      <c r="B801" s="3" t="s">
        <v>1167</v>
      </c>
      <c r="C801" s="3" t="s">
        <v>1771</v>
      </c>
      <c r="D801" s="3"/>
      <c r="E801" s="3" t="s">
        <v>1302</v>
      </c>
      <c r="F801" s="79">
        <v>113</v>
      </c>
      <c r="G801" s="3" t="s">
        <v>1221</v>
      </c>
      <c r="H801" s="3" t="s">
        <v>1890</v>
      </c>
      <c r="I801" s="3"/>
      <c r="J801" s="3" t="s">
        <v>1260</v>
      </c>
      <c r="K801" s="3" t="s">
        <v>1281</v>
      </c>
      <c r="L801" s="3" t="s">
        <v>1282</v>
      </c>
      <c r="M801" s="3" t="s">
        <v>1283</v>
      </c>
      <c r="N801" s="3" t="s">
        <v>1495</v>
      </c>
    </row>
    <row r="802" spans="1:14" x14ac:dyDescent="0.45">
      <c r="A802" s="3" t="s">
        <v>1166</v>
      </c>
      <c r="B802" s="3" t="s">
        <v>1167</v>
      </c>
      <c r="C802" s="3" t="s">
        <v>1773</v>
      </c>
      <c r="D802" s="3"/>
      <c r="E802" s="3" t="s">
        <v>1245</v>
      </c>
      <c r="F802" s="79">
        <v>113</v>
      </c>
      <c r="G802" s="3" t="s">
        <v>1221</v>
      </c>
      <c r="H802" s="3" t="s">
        <v>1890</v>
      </c>
      <c r="I802" s="3"/>
      <c r="J802" s="3" t="s">
        <v>1224</v>
      </c>
      <c r="K802" s="3" t="s">
        <v>1246</v>
      </c>
      <c r="L802" s="3" t="s">
        <v>1247</v>
      </c>
      <c r="M802" s="3" t="s">
        <v>1248</v>
      </c>
      <c r="N802" s="3" t="s">
        <v>1495</v>
      </c>
    </row>
    <row r="803" spans="1:14" x14ac:dyDescent="0.45">
      <c r="A803" s="3" t="s">
        <v>1166</v>
      </c>
      <c r="B803" s="3" t="s">
        <v>1167</v>
      </c>
      <c r="C803" s="3" t="s">
        <v>1775</v>
      </c>
      <c r="D803" s="3"/>
      <c r="E803" s="3" t="s">
        <v>1310</v>
      </c>
      <c r="F803" s="79">
        <v>113</v>
      </c>
      <c r="G803" s="3" t="s">
        <v>1221</v>
      </c>
      <c r="H803" s="3" t="s">
        <v>1890</v>
      </c>
      <c r="I803" s="3"/>
      <c r="J803" s="3" t="s">
        <v>1260</v>
      </c>
      <c r="K803" s="3" t="s">
        <v>1289</v>
      </c>
      <c r="L803" s="3" t="s">
        <v>1290</v>
      </c>
      <c r="M803" s="3" t="s">
        <v>1291</v>
      </c>
      <c r="N803" s="3" t="s">
        <v>1495</v>
      </c>
    </row>
    <row r="804" spans="1:14" x14ac:dyDescent="0.45">
      <c r="A804" s="3" t="s">
        <v>1166</v>
      </c>
      <c r="B804" s="3" t="s">
        <v>1167</v>
      </c>
      <c r="C804" s="3" t="s">
        <v>1777</v>
      </c>
      <c r="D804" s="3"/>
      <c r="E804" s="3" t="s">
        <v>1317</v>
      </c>
      <c r="F804" s="79">
        <v>113</v>
      </c>
      <c r="G804" s="3" t="s">
        <v>1221</v>
      </c>
      <c r="H804" s="3" t="s">
        <v>1890</v>
      </c>
      <c r="I804" s="3"/>
      <c r="J804" s="3" t="s">
        <v>1260</v>
      </c>
      <c r="K804" s="3" t="s">
        <v>1296</v>
      </c>
      <c r="L804" s="3" t="s">
        <v>1297</v>
      </c>
      <c r="M804" s="3" t="s">
        <v>1298</v>
      </c>
      <c r="N804" s="3" t="s">
        <v>1495</v>
      </c>
    </row>
    <row r="805" spans="1:14" x14ac:dyDescent="0.45">
      <c r="A805" s="3" t="s">
        <v>1166</v>
      </c>
      <c r="B805" s="3" t="s">
        <v>1167</v>
      </c>
      <c r="C805" s="3" t="s">
        <v>1779</v>
      </c>
      <c r="D805" s="3"/>
      <c r="E805" s="3" t="s">
        <v>1324</v>
      </c>
      <c r="F805" s="79">
        <v>113</v>
      </c>
      <c r="G805" s="3" t="s">
        <v>1221</v>
      </c>
      <c r="H805" s="3" t="s">
        <v>1890</v>
      </c>
      <c r="I805" s="3"/>
      <c r="J805" s="3" t="s">
        <v>1260</v>
      </c>
      <c r="K805" s="3" t="s">
        <v>1303</v>
      </c>
      <c r="L805" s="3" t="s">
        <v>1304</v>
      </c>
      <c r="M805" s="3" t="s">
        <v>1305</v>
      </c>
      <c r="N805" s="3" t="s">
        <v>1495</v>
      </c>
    </row>
    <row r="806" spans="1:14" x14ac:dyDescent="0.45">
      <c r="A806" s="3" t="s">
        <v>1166</v>
      </c>
      <c r="B806" s="3" t="s">
        <v>1167</v>
      </c>
      <c r="C806" s="3" t="s">
        <v>1781</v>
      </c>
      <c r="D806" s="3"/>
      <c r="E806" s="3" t="s">
        <v>1252</v>
      </c>
      <c r="F806" s="79">
        <v>113</v>
      </c>
      <c r="G806" s="3" t="s">
        <v>1221</v>
      </c>
      <c r="H806" s="3" t="s">
        <v>1890</v>
      </c>
      <c r="I806" s="3"/>
      <c r="J806" s="3" t="s">
        <v>1224</v>
      </c>
      <c r="K806" s="3" t="s">
        <v>1246</v>
      </c>
      <c r="L806" s="3" t="s">
        <v>1247</v>
      </c>
      <c r="M806" s="3" t="s">
        <v>1248</v>
      </c>
      <c r="N806" s="3" t="s">
        <v>1495</v>
      </c>
    </row>
    <row r="807" spans="1:14" x14ac:dyDescent="0.45">
      <c r="A807" s="3" t="s">
        <v>1166</v>
      </c>
      <c r="B807" s="3" t="s">
        <v>1167</v>
      </c>
      <c r="C807" s="3" t="s">
        <v>1783</v>
      </c>
      <c r="D807" s="3"/>
      <c r="E807" s="3" t="s">
        <v>1332</v>
      </c>
      <c r="F807" s="79">
        <v>113</v>
      </c>
      <c r="G807" s="3" t="s">
        <v>1221</v>
      </c>
      <c r="H807" s="3" t="s">
        <v>1890</v>
      </c>
      <c r="I807" s="3"/>
      <c r="J807" s="3" t="s">
        <v>1260</v>
      </c>
      <c r="K807" s="3" t="s">
        <v>1311</v>
      </c>
      <c r="L807" s="3" t="s">
        <v>1312</v>
      </c>
      <c r="M807" s="3" t="s">
        <v>1313</v>
      </c>
      <c r="N807" s="3" t="s">
        <v>1495</v>
      </c>
    </row>
    <row r="808" spans="1:14" x14ac:dyDescent="0.45">
      <c r="A808" s="3" t="s">
        <v>1166</v>
      </c>
      <c r="B808" s="3" t="s">
        <v>1167</v>
      </c>
      <c r="C808" s="3" t="s">
        <v>1785</v>
      </c>
      <c r="D808" s="3"/>
      <c r="E808" s="3" t="s">
        <v>1339</v>
      </c>
      <c r="F808" s="79">
        <v>113</v>
      </c>
      <c r="G808" s="3" t="s">
        <v>1221</v>
      </c>
      <c r="H808" s="3" t="s">
        <v>1890</v>
      </c>
      <c r="I808" s="3"/>
      <c r="J808" s="3" t="s">
        <v>1260</v>
      </c>
      <c r="K808" s="3" t="s">
        <v>1318</v>
      </c>
      <c r="L808" s="3" t="s">
        <v>1319</v>
      </c>
      <c r="M808" s="3" t="s">
        <v>1320</v>
      </c>
      <c r="N808" s="3" t="s">
        <v>1495</v>
      </c>
    </row>
    <row r="809" spans="1:14" x14ac:dyDescent="0.45">
      <c r="A809" s="3" t="s">
        <v>1166</v>
      </c>
      <c r="B809" s="3" t="s">
        <v>1167</v>
      </c>
      <c r="C809" s="3" t="s">
        <v>1787</v>
      </c>
      <c r="D809" s="3"/>
      <c r="E809" s="3" t="s">
        <v>1346</v>
      </c>
      <c r="F809" s="79">
        <v>113</v>
      </c>
      <c r="G809" s="3" t="s">
        <v>1221</v>
      </c>
      <c r="H809" s="3" t="s">
        <v>1890</v>
      </c>
      <c r="I809" s="3"/>
      <c r="J809" s="3" t="s">
        <v>1260</v>
      </c>
      <c r="K809" s="3" t="s">
        <v>1325</v>
      </c>
      <c r="L809" s="3" t="s">
        <v>1326</v>
      </c>
      <c r="M809" s="3" t="s">
        <v>1327</v>
      </c>
      <c r="N809" s="3" t="s">
        <v>1495</v>
      </c>
    </row>
    <row r="810" spans="1:14" x14ac:dyDescent="0.45">
      <c r="A810" s="3" t="s">
        <v>1166</v>
      </c>
      <c r="B810" s="3" t="s">
        <v>1167</v>
      </c>
      <c r="C810" s="3" t="s">
        <v>1789</v>
      </c>
      <c r="D810" s="3"/>
      <c r="E810" s="3" t="s">
        <v>1256</v>
      </c>
      <c r="F810" s="79">
        <v>113</v>
      </c>
      <c r="G810" s="3" t="s">
        <v>1221</v>
      </c>
      <c r="H810" s="3" t="s">
        <v>1890</v>
      </c>
      <c r="I810" s="3"/>
      <c r="J810" s="3" t="s">
        <v>1260</v>
      </c>
      <c r="K810" s="3" t="s">
        <v>1340</v>
      </c>
      <c r="L810" s="3" t="s">
        <v>1341</v>
      </c>
      <c r="M810" s="3" t="s">
        <v>1342</v>
      </c>
      <c r="N810" s="3" t="s">
        <v>1495</v>
      </c>
    </row>
    <row r="811" spans="1:14" x14ac:dyDescent="0.45">
      <c r="A811" s="3" t="s">
        <v>1166</v>
      </c>
      <c r="B811" s="3" t="s">
        <v>1167</v>
      </c>
      <c r="C811" s="3" t="s">
        <v>1791</v>
      </c>
      <c r="D811" s="3"/>
      <c r="E811" s="3" t="s">
        <v>1352</v>
      </c>
      <c r="F811" s="79">
        <v>113</v>
      </c>
      <c r="G811" s="3" t="s">
        <v>1221</v>
      </c>
      <c r="H811" s="3" t="s">
        <v>1890</v>
      </c>
      <c r="I811" s="3"/>
      <c r="J811" s="3" t="s">
        <v>1260</v>
      </c>
      <c r="K811" s="3" t="s">
        <v>1333</v>
      </c>
      <c r="L811" s="3" t="s">
        <v>1334</v>
      </c>
      <c r="M811" s="3" t="s">
        <v>1335</v>
      </c>
      <c r="N811" s="3" t="s">
        <v>1495</v>
      </c>
    </row>
    <row r="812" spans="1:14" x14ac:dyDescent="0.45">
      <c r="A812" s="3" t="s">
        <v>1166</v>
      </c>
      <c r="B812" s="3" t="s">
        <v>1167</v>
      </c>
      <c r="C812" s="3" t="s">
        <v>1793</v>
      </c>
      <c r="D812" s="3"/>
      <c r="E812" s="3" t="s">
        <v>1356</v>
      </c>
      <c r="F812" s="79">
        <v>113</v>
      </c>
      <c r="G812" s="3" t="s">
        <v>1221</v>
      </c>
      <c r="H812" s="3" t="s">
        <v>1890</v>
      </c>
      <c r="I812" s="3"/>
      <c r="J812" s="3" t="s">
        <v>1260</v>
      </c>
      <c r="K812" s="3" t="s">
        <v>1340</v>
      </c>
      <c r="L812" s="3" t="s">
        <v>1341</v>
      </c>
      <c r="M812" s="3" t="s">
        <v>1342</v>
      </c>
      <c r="N812" s="3" t="s">
        <v>1495</v>
      </c>
    </row>
    <row r="813" spans="1:14" x14ac:dyDescent="0.45">
      <c r="A813" s="3" t="s">
        <v>539</v>
      </c>
      <c r="B813" s="3" t="s">
        <v>1168</v>
      </c>
      <c r="C813" s="3" t="s">
        <v>1755</v>
      </c>
      <c r="D813" s="3"/>
      <c r="E813" s="3" t="s">
        <v>1220</v>
      </c>
      <c r="F813" s="79">
        <v>1</v>
      </c>
      <c r="G813" s="3" t="s">
        <v>1221</v>
      </c>
      <c r="H813" s="3" t="s">
        <v>1891</v>
      </c>
      <c r="I813" s="3"/>
      <c r="J813" s="3" t="s">
        <v>1224</v>
      </c>
      <c r="K813" s="3" t="s">
        <v>1225</v>
      </c>
      <c r="L813" s="3" t="s">
        <v>1226</v>
      </c>
      <c r="M813" s="3" t="s">
        <v>1227</v>
      </c>
      <c r="N813" s="3" t="s">
        <v>1462</v>
      </c>
    </row>
    <row r="814" spans="1:14" x14ac:dyDescent="0.45">
      <c r="A814" s="3" t="s">
        <v>539</v>
      </c>
      <c r="B814" s="3" t="s">
        <v>1168</v>
      </c>
      <c r="C814" s="3" t="s">
        <v>1757</v>
      </c>
      <c r="D814" s="3"/>
      <c r="E814" s="3" t="s">
        <v>1231</v>
      </c>
      <c r="F814" s="79">
        <v>8</v>
      </c>
      <c r="G814" s="3" t="s">
        <v>1221</v>
      </c>
      <c r="H814" s="3" t="s">
        <v>1891</v>
      </c>
      <c r="I814" s="3"/>
      <c r="J814" s="3" t="s">
        <v>1224</v>
      </c>
      <c r="K814" s="3" t="s">
        <v>1232</v>
      </c>
      <c r="L814" s="3" t="s">
        <v>1233</v>
      </c>
      <c r="M814" s="3" t="s">
        <v>1234</v>
      </c>
      <c r="N814" s="3" t="s">
        <v>1575</v>
      </c>
    </row>
    <row r="815" spans="1:14" x14ac:dyDescent="0.45">
      <c r="A815" s="3" t="s">
        <v>539</v>
      </c>
      <c r="B815" s="3" t="s">
        <v>1168</v>
      </c>
      <c r="C815" s="3" t="s">
        <v>1759</v>
      </c>
      <c r="D815" s="3"/>
      <c r="E815" s="3" t="s">
        <v>1266</v>
      </c>
      <c r="F815" s="79">
        <v>11</v>
      </c>
      <c r="G815" s="3" t="s">
        <v>1221</v>
      </c>
      <c r="H815" s="3" t="s">
        <v>1891</v>
      </c>
      <c r="I815" s="3"/>
      <c r="J815" s="3" t="s">
        <v>1260</v>
      </c>
      <c r="K815" s="3" t="s">
        <v>1267</v>
      </c>
      <c r="L815" s="3" t="s">
        <v>1268</v>
      </c>
      <c r="M815" s="3" t="s">
        <v>1269</v>
      </c>
      <c r="N815" s="3" t="s">
        <v>1621</v>
      </c>
    </row>
    <row r="816" spans="1:14" x14ac:dyDescent="0.45">
      <c r="A816" s="3" t="s">
        <v>539</v>
      </c>
      <c r="B816" s="3" t="s">
        <v>1168</v>
      </c>
      <c r="C816" s="3" t="s">
        <v>1761</v>
      </c>
      <c r="D816" s="3"/>
      <c r="E816" s="3" t="s">
        <v>1273</v>
      </c>
      <c r="F816" s="79">
        <v>14</v>
      </c>
      <c r="G816" s="3" t="s">
        <v>1221</v>
      </c>
      <c r="H816" s="3" t="s">
        <v>1891</v>
      </c>
      <c r="I816" s="3"/>
      <c r="J816" s="3" t="s">
        <v>1260</v>
      </c>
      <c r="K816" s="3" t="s">
        <v>1274</v>
      </c>
      <c r="L816" s="3" t="s">
        <v>1275</v>
      </c>
      <c r="M816" s="3" t="s">
        <v>1276</v>
      </c>
      <c r="N816" s="3" t="s">
        <v>1645</v>
      </c>
    </row>
    <row r="817" spans="1:14" x14ac:dyDescent="0.45">
      <c r="A817" s="3" t="s">
        <v>539</v>
      </c>
      <c r="B817" s="3" t="s">
        <v>1168</v>
      </c>
      <c r="C817" s="3" t="s">
        <v>1763</v>
      </c>
      <c r="D817" s="3"/>
      <c r="E817" s="3" t="s">
        <v>1280</v>
      </c>
      <c r="F817" s="79">
        <v>19</v>
      </c>
      <c r="G817" s="3" t="s">
        <v>1221</v>
      </c>
      <c r="H817" s="3" t="s">
        <v>1891</v>
      </c>
      <c r="I817" s="3"/>
      <c r="J817" s="3" t="s">
        <v>1260</v>
      </c>
      <c r="K817" s="3" t="s">
        <v>1281</v>
      </c>
      <c r="L817" s="3" t="s">
        <v>1282</v>
      </c>
      <c r="M817" s="3" t="s">
        <v>1283</v>
      </c>
      <c r="N817" s="3" t="s">
        <v>1661</v>
      </c>
    </row>
    <row r="818" spans="1:14" x14ac:dyDescent="0.45">
      <c r="A818" s="3" t="s">
        <v>539</v>
      </c>
      <c r="B818" s="3" t="s">
        <v>1168</v>
      </c>
      <c r="C818" s="3" t="s">
        <v>1765</v>
      </c>
      <c r="D818" s="3"/>
      <c r="E818" s="3" t="s">
        <v>1238</v>
      </c>
      <c r="F818" s="79">
        <v>28</v>
      </c>
      <c r="G818" s="3" t="s">
        <v>1221</v>
      </c>
      <c r="H818" s="3" t="s">
        <v>1891</v>
      </c>
      <c r="I818" s="3"/>
      <c r="J818" s="3" t="s">
        <v>1224</v>
      </c>
      <c r="K818" s="3" t="s">
        <v>1239</v>
      </c>
      <c r="L818" s="3" t="s">
        <v>1240</v>
      </c>
      <c r="M818" s="3" t="s">
        <v>1241</v>
      </c>
      <c r="N818" s="3" t="s">
        <v>1718</v>
      </c>
    </row>
    <row r="819" spans="1:14" x14ac:dyDescent="0.45">
      <c r="A819" s="3" t="s">
        <v>539</v>
      </c>
      <c r="B819" s="3" t="s">
        <v>1168</v>
      </c>
      <c r="C819" s="3" t="s">
        <v>1767</v>
      </c>
      <c r="D819" s="3"/>
      <c r="E819" s="3" t="s">
        <v>1288</v>
      </c>
      <c r="F819" s="79">
        <v>36</v>
      </c>
      <c r="G819" s="3" t="s">
        <v>1221</v>
      </c>
      <c r="H819" s="3" t="s">
        <v>1891</v>
      </c>
      <c r="I819" s="3"/>
      <c r="J819" s="3" t="s">
        <v>1260</v>
      </c>
      <c r="K819" s="3" t="s">
        <v>1289</v>
      </c>
      <c r="L819" s="3" t="s">
        <v>1290</v>
      </c>
      <c r="M819" s="3" t="s">
        <v>1291</v>
      </c>
      <c r="N819" s="3" t="s">
        <v>1420</v>
      </c>
    </row>
    <row r="820" spans="1:14" x14ac:dyDescent="0.45">
      <c r="A820" s="3" t="s">
        <v>539</v>
      </c>
      <c r="B820" s="3" t="s">
        <v>1168</v>
      </c>
      <c r="C820" s="3" t="s">
        <v>1769</v>
      </c>
      <c r="D820" s="3"/>
      <c r="E820" s="3" t="s">
        <v>1295</v>
      </c>
      <c r="F820" s="79">
        <v>43</v>
      </c>
      <c r="G820" s="3" t="s">
        <v>1221</v>
      </c>
      <c r="H820" s="3" t="s">
        <v>1891</v>
      </c>
      <c r="I820" s="3"/>
      <c r="J820" s="3" t="s">
        <v>1260</v>
      </c>
      <c r="K820" s="3" t="s">
        <v>1296</v>
      </c>
      <c r="L820" s="3" t="s">
        <v>1297</v>
      </c>
      <c r="M820" s="3" t="s">
        <v>1298</v>
      </c>
      <c r="N820" s="3" t="s">
        <v>1422</v>
      </c>
    </row>
    <row r="821" spans="1:14" x14ac:dyDescent="0.45">
      <c r="A821" s="3" t="s">
        <v>539</v>
      </c>
      <c r="B821" s="3" t="s">
        <v>1168</v>
      </c>
      <c r="C821" s="3" t="s">
        <v>1771</v>
      </c>
      <c r="D821" s="3"/>
      <c r="E821" s="3" t="s">
        <v>1302</v>
      </c>
      <c r="F821" s="79">
        <v>49</v>
      </c>
      <c r="G821" s="3" t="s">
        <v>1221</v>
      </c>
      <c r="H821" s="3" t="s">
        <v>1891</v>
      </c>
      <c r="I821" s="3"/>
      <c r="J821" s="3" t="s">
        <v>1260</v>
      </c>
      <c r="K821" s="3" t="s">
        <v>1303</v>
      </c>
      <c r="L821" s="3" t="s">
        <v>1304</v>
      </c>
      <c r="M821" s="3" t="s">
        <v>1305</v>
      </c>
      <c r="N821" s="3" t="s">
        <v>1892</v>
      </c>
    </row>
    <row r="822" spans="1:14" x14ac:dyDescent="0.45">
      <c r="A822" s="3" t="s">
        <v>539</v>
      </c>
      <c r="B822" s="3" t="s">
        <v>1168</v>
      </c>
      <c r="C822" s="3" t="s">
        <v>1773</v>
      </c>
      <c r="D822" s="3"/>
      <c r="E822" s="3" t="s">
        <v>1245</v>
      </c>
      <c r="F822" s="79">
        <v>55</v>
      </c>
      <c r="G822" s="3" t="s">
        <v>1221</v>
      </c>
      <c r="H822" s="3" t="s">
        <v>1891</v>
      </c>
      <c r="I822" s="3"/>
      <c r="J822" s="3" t="s">
        <v>1224</v>
      </c>
      <c r="K822" s="3" t="s">
        <v>1246</v>
      </c>
      <c r="L822" s="3" t="s">
        <v>1247</v>
      </c>
      <c r="M822" s="3" t="s">
        <v>1248</v>
      </c>
      <c r="N822" s="3" t="s">
        <v>1842</v>
      </c>
    </row>
    <row r="823" spans="1:14" x14ac:dyDescent="0.45">
      <c r="A823" s="3" t="s">
        <v>539</v>
      </c>
      <c r="B823" s="3" t="s">
        <v>1168</v>
      </c>
      <c r="C823" s="3" t="s">
        <v>1775</v>
      </c>
      <c r="D823" s="3"/>
      <c r="E823" s="3" t="s">
        <v>1310</v>
      </c>
      <c r="F823" s="79">
        <v>57</v>
      </c>
      <c r="G823" s="3" t="s">
        <v>1221</v>
      </c>
      <c r="H823" s="3" t="s">
        <v>1891</v>
      </c>
      <c r="I823" s="3"/>
      <c r="J823" s="3" t="s">
        <v>1260</v>
      </c>
      <c r="K823" s="3" t="s">
        <v>1311</v>
      </c>
      <c r="L823" s="3" t="s">
        <v>1312</v>
      </c>
      <c r="M823" s="3" t="s">
        <v>1313</v>
      </c>
      <c r="N823" s="3" t="s">
        <v>1557</v>
      </c>
    </row>
    <row r="824" spans="1:14" x14ac:dyDescent="0.45">
      <c r="A824" s="3" t="s">
        <v>539</v>
      </c>
      <c r="B824" s="3" t="s">
        <v>1168</v>
      </c>
      <c r="C824" s="3" t="s">
        <v>1777</v>
      </c>
      <c r="D824" s="3"/>
      <c r="E824" s="3" t="s">
        <v>1317</v>
      </c>
      <c r="F824" s="79">
        <v>58</v>
      </c>
      <c r="G824" s="3" t="s">
        <v>1221</v>
      </c>
      <c r="H824" s="3" t="s">
        <v>1891</v>
      </c>
      <c r="I824" s="3"/>
      <c r="J824" s="3" t="s">
        <v>1260</v>
      </c>
      <c r="K824" s="3" t="s">
        <v>1318</v>
      </c>
      <c r="L824" s="3" t="s">
        <v>1319</v>
      </c>
      <c r="M824" s="3" t="s">
        <v>1320</v>
      </c>
      <c r="N824" s="3" t="s">
        <v>1647</v>
      </c>
    </row>
    <row r="825" spans="1:14" x14ac:dyDescent="0.45">
      <c r="A825" s="3" t="s">
        <v>539</v>
      </c>
      <c r="B825" s="3" t="s">
        <v>1168</v>
      </c>
      <c r="C825" s="3" t="s">
        <v>1779</v>
      </c>
      <c r="D825" s="3"/>
      <c r="E825" s="3" t="s">
        <v>1324</v>
      </c>
      <c r="F825" s="79">
        <v>56</v>
      </c>
      <c r="G825" s="3" t="s">
        <v>1221</v>
      </c>
      <c r="H825" s="3" t="s">
        <v>1891</v>
      </c>
      <c r="I825" s="3"/>
      <c r="J825" s="3" t="s">
        <v>1260</v>
      </c>
      <c r="K825" s="3" t="s">
        <v>1325</v>
      </c>
      <c r="L825" s="3" t="s">
        <v>1326</v>
      </c>
      <c r="M825" s="3" t="s">
        <v>1327</v>
      </c>
      <c r="N825" s="3" t="s">
        <v>1426</v>
      </c>
    </row>
    <row r="826" spans="1:14" x14ac:dyDescent="0.45">
      <c r="A826" s="3" t="s">
        <v>539</v>
      </c>
      <c r="B826" s="3" t="s">
        <v>1168</v>
      </c>
      <c r="C826" s="3" t="s">
        <v>1781</v>
      </c>
      <c r="D826" s="3"/>
      <c r="E826" s="3" t="s">
        <v>1252</v>
      </c>
      <c r="F826" s="79">
        <v>59</v>
      </c>
      <c r="G826" s="3" t="s">
        <v>1221</v>
      </c>
      <c r="H826" s="3" t="s">
        <v>1891</v>
      </c>
      <c r="I826" s="3"/>
      <c r="J826" s="3" t="s">
        <v>1224</v>
      </c>
      <c r="K826" s="3" t="s">
        <v>1246</v>
      </c>
      <c r="L826" s="3" t="s">
        <v>1247</v>
      </c>
      <c r="M826" s="3" t="s">
        <v>1248</v>
      </c>
      <c r="N826" s="3" t="s">
        <v>1893</v>
      </c>
    </row>
    <row r="827" spans="1:14" x14ac:dyDescent="0.45">
      <c r="A827" s="3" t="s">
        <v>539</v>
      </c>
      <c r="B827" s="3" t="s">
        <v>1168</v>
      </c>
      <c r="C827" s="3" t="s">
        <v>1783</v>
      </c>
      <c r="D827" s="3"/>
      <c r="E827" s="3" t="s">
        <v>1332</v>
      </c>
      <c r="F827" s="79">
        <v>67</v>
      </c>
      <c r="G827" s="3" t="s">
        <v>1221</v>
      </c>
      <c r="H827" s="3" t="s">
        <v>1891</v>
      </c>
      <c r="I827" s="3"/>
      <c r="J827" s="3" t="s">
        <v>1260</v>
      </c>
      <c r="K827" s="3" t="s">
        <v>1333</v>
      </c>
      <c r="L827" s="3" t="s">
        <v>1334</v>
      </c>
      <c r="M827" s="3" t="s">
        <v>1335</v>
      </c>
      <c r="N827" s="3" t="s">
        <v>1430</v>
      </c>
    </row>
    <row r="828" spans="1:14" x14ac:dyDescent="0.45">
      <c r="A828" s="3" t="s">
        <v>539</v>
      </c>
      <c r="B828" s="3" t="s">
        <v>1168</v>
      </c>
      <c r="C828" s="3" t="s">
        <v>1785</v>
      </c>
      <c r="D828" s="3"/>
      <c r="E828" s="3" t="s">
        <v>1339</v>
      </c>
      <c r="F828" s="79">
        <v>63</v>
      </c>
      <c r="G828" s="3" t="s">
        <v>1221</v>
      </c>
      <c r="H828" s="3" t="s">
        <v>1891</v>
      </c>
      <c r="I828" s="3"/>
      <c r="J828" s="3" t="s">
        <v>1260</v>
      </c>
      <c r="K828" s="3" t="s">
        <v>1340</v>
      </c>
      <c r="L828" s="3" t="s">
        <v>1341</v>
      </c>
      <c r="M828" s="3" t="s">
        <v>1342</v>
      </c>
      <c r="N828" s="3" t="s">
        <v>1270</v>
      </c>
    </row>
    <row r="829" spans="1:14" x14ac:dyDescent="0.45">
      <c r="A829" s="3" t="s">
        <v>539</v>
      </c>
      <c r="B829" s="3" t="s">
        <v>1168</v>
      </c>
      <c r="C829" s="3" t="s">
        <v>1787</v>
      </c>
      <c r="D829" s="3"/>
      <c r="E829" s="3" t="s">
        <v>1346</v>
      </c>
      <c r="F829" s="79">
        <v>76</v>
      </c>
      <c r="G829" s="3" t="s">
        <v>1221</v>
      </c>
      <c r="H829" s="3" t="s">
        <v>1891</v>
      </c>
      <c r="I829" s="3"/>
      <c r="J829" s="3" t="s">
        <v>1260</v>
      </c>
      <c r="K829" s="3" t="s">
        <v>1325</v>
      </c>
      <c r="L829" s="3" t="s">
        <v>1326</v>
      </c>
      <c r="M829" s="3" t="s">
        <v>1327</v>
      </c>
      <c r="N829" s="3" t="s">
        <v>1277</v>
      </c>
    </row>
    <row r="830" spans="1:14" x14ac:dyDescent="0.45">
      <c r="A830" s="3" t="s">
        <v>539</v>
      </c>
      <c r="B830" s="3" t="s">
        <v>1168</v>
      </c>
      <c r="C830" s="3" t="s">
        <v>1789</v>
      </c>
      <c r="D830" s="3"/>
      <c r="E830" s="3" t="s">
        <v>1256</v>
      </c>
      <c r="F830" s="79">
        <v>71</v>
      </c>
      <c r="G830" s="3" t="s">
        <v>1221</v>
      </c>
      <c r="H830" s="3" t="s">
        <v>1891</v>
      </c>
      <c r="I830" s="3"/>
      <c r="J830" s="3" t="s">
        <v>1260</v>
      </c>
      <c r="K830" s="3" t="s">
        <v>1340</v>
      </c>
      <c r="L830" s="3" t="s">
        <v>1341</v>
      </c>
      <c r="M830" s="3" t="s">
        <v>1342</v>
      </c>
      <c r="N830" s="3" t="s">
        <v>1519</v>
      </c>
    </row>
    <row r="831" spans="1:14" x14ac:dyDescent="0.45">
      <c r="A831" s="3" t="s">
        <v>539</v>
      </c>
      <c r="B831" s="3" t="s">
        <v>1168</v>
      </c>
      <c r="C831" s="3" t="s">
        <v>1791</v>
      </c>
      <c r="D831" s="3"/>
      <c r="E831" s="3" t="s">
        <v>1352</v>
      </c>
      <c r="F831" s="79">
        <v>74</v>
      </c>
      <c r="G831" s="3" t="s">
        <v>1221</v>
      </c>
      <c r="H831" s="3" t="s">
        <v>1891</v>
      </c>
      <c r="I831" s="3"/>
      <c r="J831" s="3" t="s">
        <v>1260</v>
      </c>
      <c r="K831" s="3" t="s">
        <v>1333</v>
      </c>
      <c r="L831" s="3" t="s">
        <v>1334</v>
      </c>
      <c r="M831" s="3" t="s">
        <v>1335</v>
      </c>
      <c r="N831" s="3" t="s">
        <v>1540</v>
      </c>
    </row>
    <row r="832" spans="1:14" x14ac:dyDescent="0.45">
      <c r="A832" s="3" t="s">
        <v>539</v>
      </c>
      <c r="B832" s="3" t="s">
        <v>1168</v>
      </c>
      <c r="C832" s="3" t="s">
        <v>1793</v>
      </c>
      <c r="D832" s="3"/>
      <c r="E832" s="3" t="s">
        <v>1356</v>
      </c>
      <c r="F832" s="79">
        <v>73</v>
      </c>
      <c r="G832" s="3" t="s">
        <v>1221</v>
      </c>
      <c r="H832" s="3" t="s">
        <v>1891</v>
      </c>
      <c r="I832" s="3"/>
      <c r="J832" s="3" t="s">
        <v>1260</v>
      </c>
      <c r="K832" s="3" t="s">
        <v>1340</v>
      </c>
      <c r="L832" s="3" t="s">
        <v>1341</v>
      </c>
      <c r="M832" s="3" t="s">
        <v>1342</v>
      </c>
      <c r="N832" s="3" t="s">
        <v>1748</v>
      </c>
    </row>
    <row r="833" spans="1:14" x14ac:dyDescent="0.45">
      <c r="A833" s="3" t="s">
        <v>1169</v>
      </c>
      <c r="B833" s="3" t="s">
        <v>1170</v>
      </c>
      <c r="C833" s="3" t="s">
        <v>1755</v>
      </c>
      <c r="D833" s="3"/>
      <c r="E833" s="3" t="s">
        <v>1220</v>
      </c>
      <c r="F833" s="79">
        <v>103</v>
      </c>
      <c r="G833" s="3" t="s">
        <v>1221</v>
      </c>
      <c r="H833" s="3" t="s">
        <v>1894</v>
      </c>
      <c r="I833" s="3"/>
      <c r="J833" s="3" t="s">
        <v>1224</v>
      </c>
      <c r="K833" s="3" t="s">
        <v>1817</v>
      </c>
      <c r="L833" s="3" t="s">
        <v>1818</v>
      </c>
      <c r="M833" s="3" t="s">
        <v>1819</v>
      </c>
      <c r="N833" s="3" t="s">
        <v>1850</v>
      </c>
    </row>
    <row r="834" spans="1:14" x14ac:dyDescent="0.45">
      <c r="A834" s="3" t="s">
        <v>1169</v>
      </c>
      <c r="B834" s="3" t="s">
        <v>1170</v>
      </c>
      <c r="C834" s="3" t="s">
        <v>1757</v>
      </c>
      <c r="D834" s="3"/>
      <c r="E834" s="3" t="s">
        <v>1231</v>
      </c>
      <c r="F834" s="79">
        <v>250</v>
      </c>
      <c r="G834" s="3" t="s">
        <v>1221</v>
      </c>
      <c r="H834" s="3" t="s">
        <v>1894</v>
      </c>
      <c r="I834" s="3"/>
      <c r="J834" s="3" t="s">
        <v>1224</v>
      </c>
      <c r="K834" s="3" t="s">
        <v>1225</v>
      </c>
      <c r="L834" s="3" t="s">
        <v>1226</v>
      </c>
      <c r="M834" s="3" t="s">
        <v>1227</v>
      </c>
      <c r="N834" s="3" t="s">
        <v>1895</v>
      </c>
    </row>
    <row r="835" spans="1:14" x14ac:dyDescent="0.45">
      <c r="A835" s="3" t="s">
        <v>1169</v>
      </c>
      <c r="B835" s="3" t="s">
        <v>1170</v>
      </c>
      <c r="C835" s="3" t="s">
        <v>1759</v>
      </c>
      <c r="D835" s="3"/>
      <c r="E835" s="3" t="s">
        <v>1266</v>
      </c>
      <c r="F835" s="79">
        <v>257</v>
      </c>
      <c r="G835" s="3" t="s">
        <v>1221</v>
      </c>
      <c r="H835" s="3" t="s">
        <v>1894</v>
      </c>
      <c r="I835" s="3"/>
      <c r="J835" s="3" t="s">
        <v>1260</v>
      </c>
      <c r="K835" s="3" t="s">
        <v>1821</v>
      </c>
      <c r="L835" s="3" t="s">
        <v>1822</v>
      </c>
      <c r="M835" s="3" t="s">
        <v>1823</v>
      </c>
      <c r="N835" s="3" t="s">
        <v>1896</v>
      </c>
    </row>
    <row r="836" spans="1:14" x14ac:dyDescent="0.45">
      <c r="A836" s="3" t="s">
        <v>1169</v>
      </c>
      <c r="B836" s="3" t="s">
        <v>1170</v>
      </c>
      <c r="C836" s="3" t="s">
        <v>1761</v>
      </c>
      <c r="D836" s="3"/>
      <c r="E836" s="3" t="s">
        <v>1273</v>
      </c>
      <c r="F836" s="79">
        <v>264</v>
      </c>
      <c r="G836" s="3" t="s">
        <v>1221</v>
      </c>
      <c r="H836" s="3" t="s">
        <v>1894</v>
      </c>
      <c r="I836" s="3"/>
      <c r="J836" s="3" t="s">
        <v>1260</v>
      </c>
      <c r="K836" s="3" t="s">
        <v>1825</v>
      </c>
      <c r="L836" s="3" t="s">
        <v>1826</v>
      </c>
      <c r="M836" s="3" t="s">
        <v>1827</v>
      </c>
      <c r="N836" s="3" t="s">
        <v>1414</v>
      </c>
    </row>
    <row r="837" spans="1:14" x14ac:dyDescent="0.45">
      <c r="A837" s="3" t="s">
        <v>1169</v>
      </c>
      <c r="B837" s="3" t="s">
        <v>1170</v>
      </c>
      <c r="C837" s="3" t="s">
        <v>1763</v>
      </c>
      <c r="D837" s="3"/>
      <c r="E837" s="3" t="s">
        <v>1280</v>
      </c>
      <c r="F837" s="79">
        <v>339</v>
      </c>
      <c r="G837" s="3" t="s">
        <v>1221</v>
      </c>
      <c r="H837" s="3" t="s">
        <v>1894</v>
      </c>
      <c r="I837" s="3"/>
      <c r="J837" s="3" t="s">
        <v>1260</v>
      </c>
      <c r="K837" s="3" t="s">
        <v>1261</v>
      </c>
      <c r="L837" s="3" t="s">
        <v>1262</v>
      </c>
      <c r="M837" s="3" t="s">
        <v>1263</v>
      </c>
      <c r="N837" s="3" t="s">
        <v>1897</v>
      </c>
    </row>
    <row r="838" spans="1:14" x14ac:dyDescent="0.45">
      <c r="A838" s="3" t="s">
        <v>1169</v>
      </c>
      <c r="B838" s="3" t="s">
        <v>1170</v>
      </c>
      <c r="C838" s="3" t="s">
        <v>1765</v>
      </c>
      <c r="D838" s="3"/>
      <c r="E838" s="3" t="s">
        <v>1238</v>
      </c>
      <c r="F838" s="79">
        <v>354</v>
      </c>
      <c r="G838" s="3" t="s">
        <v>1221</v>
      </c>
      <c r="H838" s="3" t="s">
        <v>1894</v>
      </c>
      <c r="I838" s="3"/>
      <c r="J838" s="3" t="s">
        <v>1224</v>
      </c>
      <c r="K838" s="3" t="s">
        <v>1232</v>
      </c>
      <c r="L838" s="3" t="s">
        <v>1233</v>
      </c>
      <c r="M838" s="3" t="s">
        <v>1234</v>
      </c>
      <c r="N838" s="3" t="s">
        <v>1898</v>
      </c>
    </row>
    <row r="839" spans="1:14" x14ac:dyDescent="0.45">
      <c r="A839" s="3" t="s">
        <v>1169</v>
      </c>
      <c r="B839" s="3" t="s">
        <v>1170</v>
      </c>
      <c r="C839" s="3" t="s">
        <v>1767</v>
      </c>
      <c r="D839" s="3"/>
      <c r="E839" s="3" t="s">
        <v>1288</v>
      </c>
      <c r="F839" s="79">
        <v>387</v>
      </c>
      <c r="G839" s="3" t="s">
        <v>1221</v>
      </c>
      <c r="H839" s="3" t="s">
        <v>1894</v>
      </c>
      <c r="I839" s="3"/>
      <c r="J839" s="3" t="s">
        <v>1260</v>
      </c>
      <c r="K839" s="3" t="s">
        <v>1267</v>
      </c>
      <c r="L839" s="3" t="s">
        <v>1268</v>
      </c>
      <c r="M839" s="3" t="s">
        <v>1269</v>
      </c>
      <c r="N839" s="3" t="s">
        <v>1899</v>
      </c>
    </row>
    <row r="840" spans="1:14" x14ac:dyDescent="0.45">
      <c r="A840" s="3" t="s">
        <v>1169</v>
      </c>
      <c r="B840" s="3" t="s">
        <v>1170</v>
      </c>
      <c r="C840" s="3" t="s">
        <v>1769</v>
      </c>
      <c r="D840" s="3"/>
      <c r="E840" s="3" t="s">
        <v>1295</v>
      </c>
      <c r="F840" s="79">
        <v>340</v>
      </c>
      <c r="G840" s="3" t="s">
        <v>1221</v>
      </c>
      <c r="H840" s="3" t="s">
        <v>1894</v>
      </c>
      <c r="I840" s="3"/>
      <c r="J840" s="3" t="s">
        <v>1260</v>
      </c>
      <c r="K840" s="3" t="s">
        <v>1274</v>
      </c>
      <c r="L840" s="3" t="s">
        <v>1275</v>
      </c>
      <c r="M840" s="3" t="s">
        <v>1276</v>
      </c>
      <c r="N840" s="3" t="s">
        <v>1527</v>
      </c>
    </row>
    <row r="841" spans="1:14" x14ac:dyDescent="0.45">
      <c r="A841" s="3" t="s">
        <v>1169</v>
      </c>
      <c r="B841" s="3" t="s">
        <v>1170</v>
      </c>
      <c r="C841" s="3" t="s">
        <v>1771</v>
      </c>
      <c r="D841" s="3"/>
      <c r="E841" s="3" t="s">
        <v>1302</v>
      </c>
      <c r="F841" s="79">
        <v>354</v>
      </c>
      <c r="G841" s="3" t="s">
        <v>1221</v>
      </c>
      <c r="H841" s="3" t="s">
        <v>1894</v>
      </c>
      <c r="I841" s="3"/>
      <c r="J841" s="3" t="s">
        <v>1260</v>
      </c>
      <c r="K841" s="3" t="s">
        <v>1281</v>
      </c>
      <c r="L841" s="3" t="s">
        <v>1282</v>
      </c>
      <c r="M841" s="3" t="s">
        <v>1283</v>
      </c>
      <c r="N841" s="3" t="s">
        <v>1898</v>
      </c>
    </row>
    <row r="842" spans="1:14" x14ac:dyDescent="0.45">
      <c r="A842" s="3" t="s">
        <v>1169</v>
      </c>
      <c r="B842" s="3" t="s">
        <v>1170</v>
      </c>
      <c r="C842" s="3" t="s">
        <v>1773</v>
      </c>
      <c r="D842" s="3"/>
      <c r="E842" s="3" t="s">
        <v>1245</v>
      </c>
      <c r="F842" s="79">
        <v>388</v>
      </c>
      <c r="G842" s="3" t="s">
        <v>1221</v>
      </c>
      <c r="H842" s="3" t="s">
        <v>1894</v>
      </c>
      <c r="I842" s="3"/>
      <c r="J842" s="3" t="s">
        <v>1224</v>
      </c>
      <c r="K842" s="3" t="s">
        <v>1239</v>
      </c>
      <c r="L842" s="3" t="s">
        <v>1240</v>
      </c>
      <c r="M842" s="3" t="s">
        <v>1241</v>
      </c>
      <c r="N842" s="3" t="s">
        <v>1900</v>
      </c>
    </row>
    <row r="843" spans="1:14" x14ac:dyDescent="0.45">
      <c r="A843" s="3" t="s">
        <v>1169</v>
      </c>
      <c r="B843" s="3" t="s">
        <v>1170</v>
      </c>
      <c r="C843" s="3" t="s">
        <v>1775</v>
      </c>
      <c r="D843" s="3"/>
      <c r="E843" s="3" t="s">
        <v>1310</v>
      </c>
      <c r="F843" s="79">
        <v>401</v>
      </c>
      <c r="G843" s="3" t="s">
        <v>1221</v>
      </c>
      <c r="H843" s="3" t="s">
        <v>1894</v>
      </c>
      <c r="I843" s="3"/>
      <c r="J843" s="3" t="s">
        <v>1260</v>
      </c>
      <c r="K843" s="3" t="s">
        <v>1289</v>
      </c>
      <c r="L843" s="3" t="s">
        <v>1290</v>
      </c>
      <c r="M843" s="3" t="s">
        <v>1291</v>
      </c>
      <c r="N843" s="3" t="s">
        <v>1515</v>
      </c>
    </row>
    <row r="844" spans="1:14" x14ac:dyDescent="0.45">
      <c r="A844" s="3" t="s">
        <v>1169</v>
      </c>
      <c r="B844" s="3" t="s">
        <v>1170</v>
      </c>
      <c r="C844" s="3" t="s">
        <v>1777</v>
      </c>
      <c r="D844" s="3"/>
      <c r="E844" s="3" t="s">
        <v>1317</v>
      </c>
      <c r="F844" s="79">
        <v>416</v>
      </c>
      <c r="G844" s="3" t="s">
        <v>1221</v>
      </c>
      <c r="H844" s="3" t="s">
        <v>1894</v>
      </c>
      <c r="I844" s="3"/>
      <c r="J844" s="3" t="s">
        <v>1260</v>
      </c>
      <c r="K844" s="3" t="s">
        <v>1296</v>
      </c>
      <c r="L844" s="3" t="s">
        <v>1297</v>
      </c>
      <c r="M844" s="3" t="s">
        <v>1298</v>
      </c>
      <c r="N844" s="3" t="s">
        <v>1901</v>
      </c>
    </row>
    <row r="845" spans="1:14" x14ac:dyDescent="0.45">
      <c r="A845" s="3" t="s">
        <v>1169</v>
      </c>
      <c r="B845" s="3" t="s">
        <v>1170</v>
      </c>
      <c r="C845" s="3" t="s">
        <v>1779</v>
      </c>
      <c r="D845" s="3"/>
      <c r="E845" s="3" t="s">
        <v>1324</v>
      </c>
      <c r="F845" s="79">
        <v>425</v>
      </c>
      <c r="G845" s="3" t="s">
        <v>1221</v>
      </c>
      <c r="H845" s="3" t="s">
        <v>1894</v>
      </c>
      <c r="I845" s="3"/>
      <c r="J845" s="3" t="s">
        <v>1260</v>
      </c>
      <c r="K845" s="3" t="s">
        <v>1303</v>
      </c>
      <c r="L845" s="3" t="s">
        <v>1304</v>
      </c>
      <c r="M845" s="3" t="s">
        <v>1305</v>
      </c>
      <c r="N845" s="3" t="s">
        <v>1902</v>
      </c>
    </row>
    <row r="846" spans="1:14" x14ac:dyDescent="0.45">
      <c r="A846" s="3" t="s">
        <v>1169</v>
      </c>
      <c r="B846" s="3" t="s">
        <v>1170</v>
      </c>
      <c r="C846" s="3" t="s">
        <v>1781</v>
      </c>
      <c r="D846" s="3"/>
      <c r="E846" s="3" t="s">
        <v>1252</v>
      </c>
      <c r="F846" s="79">
        <v>433</v>
      </c>
      <c r="G846" s="3" t="s">
        <v>1221</v>
      </c>
      <c r="H846" s="3" t="s">
        <v>1894</v>
      </c>
      <c r="I846" s="3"/>
      <c r="J846" s="3" t="s">
        <v>1224</v>
      </c>
      <c r="K846" s="3" t="s">
        <v>1246</v>
      </c>
      <c r="L846" s="3" t="s">
        <v>1247</v>
      </c>
      <c r="M846" s="3" t="s">
        <v>1248</v>
      </c>
      <c r="N846" s="3" t="s">
        <v>1903</v>
      </c>
    </row>
    <row r="847" spans="1:14" x14ac:dyDescent="0.45">
      <c r="A847" s="3" t="s">
        <v>1169</v>
      </c>
      <c r="B847" s="3" t="s">
        <v>1170</v>
      </c>
      <c r="C847" s="3" t="s">
        <v>1783</v>
      </c>
      <c r="D847" s="3"/>
      <c r="E847" s="3" t="s">
        <v>1332</v>
      </c>
      <c r="F847" s="79">
        <v>442</v>
      </c>
      <c r="G847" s="3" t="s">
        <v>1221</v>
      </c>
      <c r="H847" s="3" t="s">
        <v>1894</v>
      </c>
      <c r="I847" s="3"/>
      <c r="J847" s="3" t="s">
        <v>1260</v>
      </c>
      <c r="K847" s="3" t="s">
        <v>1311</v>
      </c>
      <c r="L847" s="3" t="s">
        <v>1312</v>
      </c>
      <c r="M847" s="3" t="s">
        <v>1313</v>
      </c>
      <c r="N847" s="3" t="s">
        <v>1904</v>
      </c>
    </row>
    <row r="848" spans="1:14" x14ac:dyDescent="0.45">
      <c r="A848" s="3" t="s">
        <v>1169</v>
      </c>
      <c r="B848" s="3" t="s">
        <v>1170</v>
      </c>
      <c r="C848" s="3" t="s">
        <v>1785</v>
      </c>
      <c r="D848" s="3"/>
      <c r="E848" s="3" t="s">
        <v>1339</v>
      </c>
      <c r="F848" s="79">
        <v>450</v>
      </c>
      <c r="G848" s="3" t="s">
        <v>1221</v>
      </c>
      <c r="H848" s="3" t="s">
        <v>1894</v>
      </c>
      <c r="I848" s="3"/>
      <c r="J848" s="3" t="s">
        <v>1260</v>
      </c>
      <c r="K848" s="3" t="s">
        <v>1318</v>
      </c>
      <c r="L848" s="3" t="s">
        <v>1319</v>
      </c>
      <c r="M848" s="3" t="s">
        <v>1320</v>
      </c>
      <c r="N848" s="3" t="s">
        <v>1905</v>
      </c>
    </row>
    <row r="849" spans="1:14" x14ac:dyDescent="0.45">
      <c r="A849" s="3" t="s">
        <v>1169</v>
      </c>
      <c r="B849" s="3" t="s">
        <v>1170</v>
      </c>
      <c r="C849" s="3" t="s">
        <v>1787</v>
      </c>
      <c r="D849" s="3"/>
      <c r="E849" s="3" t="s">
        <v>1346</v>
      </c>
      <c r="F849" s="79">
        <v>476</v>
      </c>
      <c r="G849" s="3" t="s">
        <v>1221</v>
      </c>
      <c r="H849" s="3" t="s">
        <v>1894</v>
      </c>
      <c r="I849" s="3"/>
      <c r="J849" s="3" t="s">
        <v>1260</v>
      </c>
      <c r="K849" s="3" t="s">
        <v>1325</v>
      </c>
      <c r="L849" s="3" t="s">
        <v>1326</v>
      </c>
      <c r="M849" s="3" t="s">
        <v>1327</v>
      </c>
      <c r="N849" s="3" t="s">
        <v>1906</v>
      </c>
    </row>
    <row r="850" spans="1:14" x14ac:dyDescent="0.45">
      <c r="A850" s="3" t="s">
        <v>1169</v>
      </c>
      <c r="B850" s="3" t="s">
        <v>1170</v>
      </c>
      <c r="C850" s="3" t="s">
        <v>1789</v>
      </c>
      <c r="D850" s="3"/>
      <c r="E850" s="3" t="s">
        <v>1256</v>
      </c>
      <c r="F850" s="79">
        <v>476</v>
      </c>
      <c r="G850" s="3" t="s">
        <v>1221</v>
      </c>
      <c r="H850" s="3" t="s">
        <v>1894</v>
      </c>
      <c r="I850" s="3"/>
      <c r="J850" s="3" t="s">
        <v>1260</v>
      </c>
      <c r="K850" s="3" t="s">
        <v>1340</v>
      </c>
      <c r="L850" s="3" t="s">
        <v>1341</v>
      </c>
      <c r="M850" s="3" t="s">
        <v>1342</v>
      </c>
      <c r="N850" s="3" t="s">
        <v>1906</v>
      </c>
    </row>
    <row r="851" spans="1:14" x14ac:dyDescent="0.45">
      <c r="A851" s="3" t="s">
        <v>1169</v>
      </c>
      <c r="B851" s="3" t="s">
        <v>1170</v>
      </c>
      <c r="C851" s="3" t="s">
        <v>1791</v>
      </c>
      <c r="D851" s="3"/>
      <c r="E851" s="3" t="s">
        <v>1352</v>
      </c>
      <c r="F851" s="79">
        <v>502</v>
      </c>
      <c r="G851" s="3" t="s">
        <v>1221</v>
      </c>
      <c r="H851" s="3" t="s">
        <v>1894</v>
      </c>
      <c r="I851" s="3"/>
      <c r="J851" s="3" t="s">
        <v>1260</v>
      </c>
      <c r="K851" s="3" t="s">
        <v>1333</v>
      </c>
      <c r="L851" s="3" t="s">
        <v>1334</v>
      </c>
      <c r="M851" s="3" t="s">
        <v>1335</v>
      </c>
      <c r="N851" s="3" t="s">
        <v>1832</v>
      </c>
    </row>
    <row r="852" spans="1:14" x14ac:dyDescent="0.45">
      <c r="A852" s="3" t="s">
        <v>1169</v>
      </c>
      <c r="B852" s="3" t="s">
        <v>1170</v>
      </c>
      <c r="C852" s="3" t="s">
        <v>1793</v>
      </c>
      <c r="D852" s="3"/>
      <c r="E852" s="3" t="s">
        <v>1356</v>
      </c>
      <c r="F852" s="79">
        <v>531</v>
      </c>
      <c r="G852" s="3" t="s">
        <v>1221</v>
      </c>
      <c r="H852" s="3" t="s">
        <v>1894</v>
      </c>
      <c r="I852" s="3"/>
      <c r="J852" s="3" t="s">
        <v>1260</v>
      </c>
      <c r="K852" s="3" t="s">
        <v>1340</v>
      </c>
      <c r="L852" s="3" t="s">
        <v>1341</v>
      </c>
      <c r="M852" s="3" t="s">
        <v>1342</v>
      </c>
      <c r="N852" s="3" t="s">
        <v>1907</v>
      </c>
    </row>
    <row r="853" spans="1:14" x14ac:dyDescent="0.45">
      <c r="A853" s="3" t="s">
        <v>1171</v>
      </c>
      <c r="B853" s="3" t="s">
        <v>544</v>
      </c>
      <c r="C853" s="3" t="s">
        <v>1755</v>
      </c>
      <c r="D853" s="3"/>
      <c r="E853" s="3" t="s">
        <v>1220</v>
      </c>
      <c r="F853" s="79">
        <v>776</v>
      </c>
      <c r="G853" s="3" t="s">
        <v>1221</v>
      </c>
      <c r="H853" s="3" t="s">
        <v>1908</v>
      </c>
      <c r="I853" s="3"/>
      <c r="J853" s="3" t="s">
        <v>1224</v>
      </c>
      <c r="K853" s="3" t="s">
        <v>1817</v>
      </c>
      <c r="L853" s="3" t="s">
        <v>1818</v>
      </c>
      <c r="M853" s="3" t="s">
        <v>1819</v>
      </c>
      <c r="N853" s="3" t="s">
        <v>1909</v>
      </c>
    </row>
    <row r="854" spans="1:14" x14ac:dyDescent="0.45">
      <c r="A854" s="3" t="s">
        <v>1171</v>
      </c>
      <c r="B854" s="3" t="s">
        <v>544</v>
      </c>
      <c r="C854" s="3" t="s">
        <v>1757</v>
      </c>
      <c r="D854" s="3"/>
      <c r="E854" s="3" t="s">
        <v>1231</v>
      </c>
      <c r="F854" s="79">
        <v>1735</v>
      </c>
      <c r="G854" s="3" t="s">
        <v>1221</v>
      </c>
      <c r="H854" s="3" t="s">
        <v>1908</v>
      </c>
      <c r="I854" s="3"/>
      <c r="J854" s="3" t="s">
        <v>1224</v>
      </c>
      <c r="K854" s="3" t="s">
        <v>1225</v>
      </c>
      <c r="L854" s="3" t="s">
        <v>1226</v>
      </c>
      <c r="M854" s="3" t="s">
        <v>1227</v>
      </c>
      <c r="N854" s="3" t="s">
        <v>1910</v>
      </c>
    </row>
    <row r="855" spans="1:14" x14ac:dyDescent="0.45">
      <c r="A855" s="3" t="s">
        <v>1171</v>
      </c>
      <c r="B855" s="3" t="s">
        <v>544</v>
      </c>
      <c r="C855" s="3" t="s">
        <v>1759</v>
      </c>
      <c r="D855" s="3"/>
      <c r="E855" s="3" t="s">
        <v>1266</v>
      </c>
      <c r="F855" s="79">
        <v>1734</v>
      </c>
      <c r="G855" s="3" t="s">
        <v>1221</v>
      </c>
      <c r="H855" s="3" t="s">
        <v>1908</v>
      </c>
      <c r="I855" s="3"/>
      <c r="J855" s="3" t="s">
        <v>1260</v>
      </c>
      <c r="K855" s="3" t="s">
        <v>1821</v>
      </c>
      <c r="L855" s="3" t="s">
        <v>1822</v>
      </c>
      <c r="M855" s="3" t="s">
        <v>1823</v>
      </c>
      <c r="N855" s="3" t="s">
        <v>1911</v>
      </c>
    </row>
    <row r="856" spans="1:14" x14ac:dyDescent="0.45">
      <c r="A856" s="3" t="s">
        <v>1171</v>
      </c>
      <c r="B856" s="3" t="s">
        <v>544</v>
      </c>
      <c r="C856" s="3" t="s">
        <v>1761</v>
      </c>
      <c r="D856" s="3"/>
      <c r="E856" s="3" t="s">
        <v>1273</v>
      </c>
      <c r="F856" s="79">
        <v>1750</v>
      </c>
      <c r="G856" s="3" t="s">
        <v>1221</v>
      </c>
      <c r="H856" s="3" t="s">
        <v>1908</v>
      </c>
      <c r="I856" s="3"/>
      <c r="J856" s="3" t="s">
        <v>1260</v>
      </c>
      <c r="K856" s="3" t="s">
        <v>1825</v>
      </c>
      <c r="L856" s="3" t="s">
        <v>1826</v>
      </c>
      <c r="M856" s="3" t="s">
        <v>1827</v>
      </c>
      <c r="N856" s="3" t="s">
        <v>1912</v>
      </c>
    </row>
    <row r="857" spans="1:14" x14ac:dyDescent="0.45">
      <c r="A857" s="3" t="s">
        <v>1171</v>
      </c>
      <c r="B857" s="3" t="s">
        <v>544</v>
      </c>
      <c r="C857" s="3" t="s">
        <v>1763</v>
      </c>
      <c r="D857" s="3"/>
      <c r="E857" s="3" t="s">
        <v>1280</v>
      </c>
      <c r="F857" s="79">
        <v>1741</v>
      </c>
      <c r="G857" s="3" t="s">
        <v>1221</v>
      </c>
      <c r="H857" s="3" t="s">
        <v>1908</v>
      </c>
      <c r="I857" s="3"/>
      <c r="J857" s="3" t="s">
        <v>1260</v>
      </c>
      <c r="K857" s="3" t="s">
        <v>1261</v>
      </c>
      <c r="L857" s="3" t="s">
        <v>1262</v>
      </c>
      <c r="M857" s="3" t="s">
        <v>1263</v>
      </c>
      <c r="N857" s="3" t="s">
        <v>1913</v>
      </c>
    </row>
    <row r="858" spans="1:14" x14ac:dyDescent="0.45">
      <c r="A858" s="3" t="s">
        <v>1171</v>
      </c>
      <c r="B858" s="3" t="s">
        <v>544</v>
      </c>
      <c r="C858" s="3" t="s">
        <v>1765</v>
      </c>
      <c r="D858" s="3"/>
      <c r="E858" s="3" t="s">
        <v>1238</v>
      </c>
      <c r="F858" s="79">
        <v>1761</v>
      </c>
      <c r="G858" s="3" t="s">
        <v>1221</v>
      </c>
      <c r="H858" s="3" t="s">
        <v>1908</v>
      </c>
      <c r="I858" s="3"/>
      <c r="J858" s="3" t="s">
        <v>1224</v>
      </c>
      <c r="K858" s="3" t="s">
        <v>1232</v>
      </c>
      <c r="L858" s="3" t="s">
        <v>1233</v>
      </c>
      <c r="M858" s="3" t="s">
        <v>1234</v>
      </c>
      <c r="N858" s="3" t="s">
        <v>1914</v>
      </c>
    </row>
    <row r="859" spans="1:14" x14ac:dyDescent="0.45">
      <c r="A859" s="3" t="s">
        <v>1171</v>
      </c>
      <c r="B859" s="3" t="s">
        <v>544</v>
      </c>
      <c r="C859" s="3" t="s">
        <v>1767</v>
      </c>
      <c r="D859" s="3"/>
      <c r="E859" s="3" t="s">
        <v>1288</v>
      </c>
      <c r="F859" s="79">
        <v>1795</v>
      </c>
      <c r="G859" s="3" t="s">
        <v>1221</v>
      </c>
      <c r="H859" s="3" t="s">
        <v>1908</v>
      </c>
      <c r="I859" s="3"/>
      <c r="J859" s="3" t="s">
        <v>1260</v>
      </c>
      <c r="K859" s="3" t="s">
        <v>1267</v>
      </c>
      <c r="L859" s="3" t="s">
        <v>1268</v>
      </c>
      <c r="M859" s="3" t="s">
        <v>1269</v>
      </c>
      <c r="N859" s="3" t="s">
        <v>1915</v>
      </c>
    </row>
    <row r="860" spans="1:14" x14ac:dyDescent="0.45">
      <c r="A860" s="3" t="s">
        <v>1171</v>
      </c>
      <c r="B860" s="3" t="s">
        <v>544</v>
      </c>
      <c r="C860" s="3" t="s">
        <v>1769</v>
      </c>
      <c r="D860" s="3"/>
      <c r="E860" s="3" t="s">
        <v>1295</v>
      </c>
      <c r="F860" s="79">
        <v>1795</v>
      </c>
      <c r="G860" s="3" t="s">
        <v>1221</v>
      </c>
      <c r="H860" s="3" t="s">
        <v>1908</v>
      </c>
      <c r="I860" s="3"/>
      <c r="J860" s="3" t="s">
        <v>1260</v>
      </c>
      <c r="K860" s="3" t="s">
        <v>1274</v>
      </c>
      <c r="L860" s="3" t="s">
        <v>1275</v>
      </c>
      <c r="M860" s="3" t="s">
        <v>1276</v>
      </c>
      <c r="N860" s="3" t="s">
        <v>1915</v>
      </c>
    </row>
    <row r="861" spans="1:14" x14ac:dyDescent="0.45">
      <c r="A861" s="3" t="s">
        <v>1171</v>
      </c>
      <c r="B861" s="3" t="s">
        <v>544</v>
      </c>
      <c r="C861" s="3" t="s">
        <v>1771</v>
      </c>
      <c r="D861" s="3"/>
      <c r="E861" s="3" t="s">
        <v>1302</v>
      </c>
      <c r="F861" s="79">
        <v>1834</v>
      </c>
      <c r="G861" s="3" t="s">
        <v>1221</v>
      </c>
      <c r="H861" s="3" t="s">
        <v>1908</v>
      </c>
      <c r="I861" s="3"/>
      <c r="J861" s="3" t="s">
        <v>1260</v>
      </c>
      <c r="K861" s="3" t="s">
        <v>1281</v>
      </c>
      <c r="L861" s="3" t="s">
        <v>1282</v>
      </c>
      <c r="M861" s="3" t="s">
        <v>1283</v>
      </c>
      <c r="N861" s="3" t="s">
        <v>1916</v>
      </c>
    </row>
    <row r="862" spans="1:14" x14ac:dyDescent="0.45">
      <c r="A862" s="3" t="s">
        <v>1171</v>
      </c>
      <c r="B862" s="3" t="s">
        <v>544</v>
      </c>
      <c r="C862" s="3" t="s">
        <v>1773</v>
      </c>
      <c r="D862" s="3"/>
      <c r="E862" s="3" t="s">
        <v>1245</v>
      </c>
      <c r="F862" s="79">
        <v>1958</v>
      </c>
      <c r="G862" s="3" t="s">
        <v>1221</v>
      </c>
      <c r="H862" s="3" t="s">
        <v>1908</v>
      </c>
      <c r="I862" s="3"/>
      <c r="J862" s="3" t="s">
        <v>1224</v>
      </c>
      <c r="K862" s="3" t="s">
        <v>1239</v>
      </c>
      <c r="L862" s="3" t="s">
        <v>1240</v>
      </c>
      <c r="M862" s="3" t="s">
        <v>1241</v>
      </c>
      <c r="N862" s="3" t="s">
        <v>1917</v>
      </c>
    </row>
    <row r="863" spans="1:14" x14ac:dyDescent="0.45">
      <c r="A863" s="3" t="s">
        <v>1171</v>
      </c>
      <c r="B863" s="3" t="s">
        <v>544</v>
      </c>
      <c r="C863" s="3" t="s">
        <v>1775</v>
      </c>
      <c r="D863" s="3"/>
      <c r="E863" s="3" t="s">
        <v>1310</v>
      </c>
      <c r="F863" s="79">
        <v>2052</v>
      </c>
      <c r="G863" s="3" t="s">
        <v>1221</v>
      </c>
      <c r="H863" s="3" t="s">
        <v>1908</v>
      </c>
      <c r="I863" s="3"/>
      <c r="J863" s="3" t="s">
        <v>1260</v>
      </c>
      <c r="K863" s="3" t="s">
        <v>1289</v>
      </c>
      <c r="L863" s="3" t="s">
        <v>1290</v>
      </c>
      <c r="M863" s="3" t="s">
        <v>1291</v>
      </c>
      <c r="N863" s="3" t="s">
        <v>1918</v>
      </c>
    </row>
    <row r="864" spans="1:14" x14ac:dyDescent="0.45">
      <c r="A864" s="3" t="s">
        <v>1171</v>
      </c>
      <c r="B864" s="3" t="s">
        <v>544</v>
      </c>
      <c r="C864" s="3" t="s">
        <v>1777</v>
      </c>
      <c r="D864" s="3"/>
      <c r="E864" s="3" t="s">
        <v>1317</v>
      </c>
      <c r="F864" s="79">
        <v>2155</v>
      </c>
      <c r="G864" s="3" t="s">
        <v>1221</v>
      </c>
      <c r="H864" s="3" t="s">
        <v>1908</v>
      </c>
      <c r="I864" s="3"/>
      <c r="J864" s="3" t="s">
        <v>1260</v>
      </c>
      <c r="K864" s="3" t="s">
        <v>1296</v>
      </c>
      <c r="L864" s="3" t="s">
        <v>1297</v>
      </c>
      <c r="M864" s="3" t="s">
        <v>1298</v>
      </c>
      <c r="N864" s="3" t="s">
        <v>1919</v>
      </c>
    </row>
    <row r="865" spans="1:14" x14ac:dyDescent="0.45">
      <c r="A865" s="3" t="s">
        <v>1171</v>
      </c>
      <c r="B865" s="3" t="s">
        <v>544</v>
      </c>
      <c r="C865" s="3" t="s">
        <v>1779</v>
      </c>
      <c r="D865" s="3"/>
      <c r="E865" s="3" t="s">
        <v>1324</v>
      </c>
      <c r="F865" s="79">
        <v>2227</v>
      </c>
      <c r="G865" s="3" t="s">
        <v>1221</v>
      </c>
      <c r="H865" s="3" t="s">
        <v>1908</v>
      </c>
      <c r="I865" s="3"/>
      <c r="J865" s="3" t="s">
        <v>1260</v>
      </c>
      <c r="K865" s="3" t="s">
        <v>1303</v>
      </c>
      <c r="L865" s="3" t="s">
        <v>1304</v>
      </c>
      <c r="M865" s="3" t="s">
        <v>1305</v>
      </c>
      <c r="N865" s="3" t="s">
        <v>1920</v>
      </c>
    </row>
    <row r="866" spans="1:14" x14ac:dyDescent="0.45">
      <c r="A866" s="3" t="s">
        <v>1171</v>
      </c>
      <c r="B866" s="3" t="s">
        <v>544</v>
      </c>
      <c r="C866" s="3" t="s">
        <v>1781</v>
      </c>
      <c r="D866" s="3"/>
      <c r="E866" s="3" t="s">
        <v>1252</v>
      </c>
      <c r="F866" s="79">
        <v>2408</v>
      </c>
      <c r="G866" s="3" t="s">
        <v>1221</v>
      </c>
      <c r="H866" s="3" t="s">
        <v>1908</v>
      </c>
      <c r="I866" s="3"/>
      <c r="J866" s="3" t="s">
        <v>1224</v>
      </c>
      <c r="K866" s="3" t="s">
        <v>1246</v>
      </c>
      <c r="L866" s="3" t="s">
        <v>1247</v>
      </c>
      <c r="M866" s="3" t="s">
        <v>1248</v>
      </c>
      <c r="N866" s="3" t="s">
        <v>1921</v>
      </c>
    </row>
    <row r="867" spans="1:14" x14ac:dyDescent="0.45">
      <c r="A867" s="3" t="s">
        <v>1171</v>
      </c>
      <c r="B867" s="3" t="s">
        <v>544</v>
      </c>
      <c r="C867" s="3" t="s">
        <v>1783</v>
      </c>
      <c r="D867" s="3"/>
      <c r="E867" s="3" t="s">
        <v>1332</v>
      </c>
      <c r="F867" s="79">
        <v>2564</v>
      </c>
      <c r="G867" s="3" t="s">
        <v>1221</v>
      </c>
      <c r="H867" s="3" t="s">
        <v>1908</v>
      </c>
      <c r="I867" s="3"/>
      <c r="J867" s="3" t="s">
        <v>1260</v>
      </c>
      <c r="K867" s="3" t="s">
        <v>1311</v>
      </c>
      <c r="L867" s="3" t="s">
        <v>1312</v>
      </c>
      <c r="M867" s="3" t="s">
        <v>1313</v>
      </c>
      <c r="N867" s="3" t="s">
        <v>1922</v>
      </c>
    </row>
    <row r="868" spans="1:14" x14ac:dyDescent="0.45">
      <c r="A868" s="3" t="s">
        <v>1171</v>
      </c>
      <c r="B868" s="3" t="s">
        <v>544</v>
      </c>
      <c r="C868" s="3" t="s">
        <v>1785</v>
      </c>
      <c r="D868" s="3"/>
      <c r="E868" s="3" t="s">
        <v>1339</v>
      </c>
      <c r="F868" s="79">
        <v>2767</v>
      </c>
      <c r="G868" s="3" t="s">
        <v>1221</v>
      </c>
      <c r="H868" s="3" t="s">
        <v>1908</v>
      </c>
      <c r="I868" s="3"/>
      <c r="J868" s="3" t="s">
        <v>1260</v>
      </c>
      <c r="K868" s="3" t="s">
        <v>1318</v>
      </c>
      <c r="L868" s="3" t="s">
        <v>1319</v>
      </c>
      <c r="M868" s="3" t="s">
        <v>1320</v>
      </c>
      <c r="N868" s="3" t="s">
        <v>1923</v>
      </c>
    </row>
    <row r="869" spans="1:14" x14ac:dyDescent="0.45">
      <c r="A869" s="3" t="s">
        <v>1171</v>
      </c>
      <c r="B869" s="3" t="s">
        <v>544</v>
      </c>
      <c r="C869" s="3" t="s">
        <v>1787</v>
      </c>
      <c r="D869" s="3"/>
      <c r="E869" s="3" t="s">
        <v>1346</v>
      </c>
      <c r="F869" s="79">
        <v>2971</v>
      </c>
      <c r="G869" s="3" t="s">
        <v>1221</v>
      </c>
      <c r="H869" s="3" t="s">
        <v>1908</v>
      </c>
      <c r="I869" s="3"/>
      <c r="J869" s="3" t="s">
        <v>1260</v>
      </c>
      <c r="K869" s="3" t="s">
        <v>1325</v>
      </c>
      <c r="L869" s="3" t="s">
        <v>1326</v>
      </c>
      <c r="M869" s="3" t="s">
        <v>1327</v>
      </c>
      <c r="N869" s="3" t="s">
        <v>1924</v>
      </c>
    </row>
    <row r="870" spans="1:14" x14ac:dyDescent="0.45">
      <c r="A870" s="3" t="s">
        <v>1171</v>
      </c>
      <c r="B870" s="3" t="s">
        <v>544</v>
      </c>
      <c r="C870" s="3" t="s">
        <v>1789</v>
      </c>
      <c r="D870" s="3"/>
      <c r="E870" s="3" t="s">
        <v>1256</v>
      </c>
      <c r="F870" s="79">
        <v>3145</v>
      </c>
      <c r="G870" s="3" t="s">
        <v>1221</v>
      </c>
      <c r="H870" s="3" t="s">
        <v>1908</v>
      </c>
      <c r="I870" s="3"/>
      <c r="J870" s="3" t="s">
        <v>1260</v>
      </c>
      <c r="K870" s="3" t="s">
        <v>1340</v>
      </c>
      <c r="L870" s="3" t="s">
        <v>1341</v>
      </c>
      <c r="M870" s="3" t="s">
        <v>1342</v>
      </c>
      <c r="N870" s="3" t="s">
        <v>1925</v>
      </c>
    </row>
    <row r="871" spans="1:14" x14ac:dyDescent="0.45">
      <c r="A871" s="3" t="s">
        <v>1171</v>
      </c>
      <c r="B871" s="3" t="s">
        <v>544</v>
      </c>
      <c r="C871" s="3" t="s">
        <v>1791</v>
      </c>
      <c r="D871" s="3"/>
      <c r="E871" s="3" t="s">
        <v>1352</v>
      </c>
      <c r="F871" s="79">
        <v>3094</v>
      </c>
      <c r="G871" s="3" t="s">
        <v>1221</v>
      </c>
      <c r="H871" s="3" t="s">
        <v>1908</v>
      </c>
      <c r="I871" s="3"/>
      <c r="J871" s="3" t="s">
        <v>1260</v>
      </c>
      <c r="K871" s="3" t="s">
        <v>1333</v>
      </c>
      <c r="L871" s="3" t="s">
        <v>1334</v>
      </c>
      <c r="M871" s="3" t="s">
        <v>1335</v>
      </c>
      <c r="N871" s="3" t="s">
        <v>1926</v>
      </c>
    </row>
    <row r="872" spans="1:14" x14ac:dyDescent="0.45">
      <c r="A872" s="3" t="s">
        <v>1171</v>
      </c>
      <c r="B872" s="3" t="s">
        <v>544</v>
      </c>
      <c r="C872" s="3" t="s">
        <v>1793</v>
      </c>
      <c r="D872" s="3"/>
      <c r="E872" s="3" t="s">
        <v>1356</v>
      </c>
      <c r="F872" s="79">
        <v>3181</v>
      </c>
      <c r="G872" s="3" t="s">
        <v>1221</v>
      </c>
      <c r="H872" s="3" t="s">
        <v>1908</v>
      </c>
      <c r="I872" s="3"/>
      <c r="J872" s="3" t="s">
        <v>1260</v>
      </c>
      <c r="K872" s="3" t="s">
        <v>1340</v>
      </c>
      <c r="L872" s="3" t="s">
        <v>1341</v>
      </c>
      <c r="M872" s="3" t="s">
        <v>1342</v>
      </c>
      <c r="N872" s="3" t="s">
        <v>1927</v>
      </c>
    </row>
    <row r="873" spans="1:14" x14ac:dyDescent="0.45">
      <c r="A873" s="3" t="s">
        <v>546</v>
      </c>
      <c r="B873" s="3" t="s">
        <v>547</v>
      </c>
      <c r="C873" s="3" t="s">
        <v>1755</v>
      </c>
      <c r="D873" s="3"/>
      <c r="E873" s="3" t="s">
        <v>1220</v>
      </c>
      <c r="F873" s="79">
        <v>30</v>
      </c>
      <c r="G873" s="3" t="s">
        <v>1221</v>
      </c>
      <c r="H873" s="3" t="s">
        <v>1928</v>
      </c>
      <c r="I873" s="3"/>
      <c r="J873" s="3" t="s">
        <v>1224</v>
      </c>
      <c r="K873" s="3" t="s">
        <v>1817</v>
      </c>
      <c r="L873" s="3" t="s">
        <v>1818</v>
      </c>
      <c r="M873" s="3" t="s">
        <v>1819</v>
      </c>
      <c r="N873" s="3" t="s">
        <v>1627</v>
      </c>
    </row>
    <row r="874" spans="1:14" x14ac:dyDescent="0.45">
      <c r="A874" s="3" t="s">
        <v>546</v>
      </c>
      <c r="B874" s="3" t="s">
        <v>547</v>
      </c>
      <c r="C874" s="3" t="s">
        <v>1757</v>
      </c>
      <c r="D874" s="3"/>
      <c r="E874" s="3" t="s">
        <v>1231</v>
      </c>
      <c r="F874" s="79">
        <v>40</v>
      </c>
      <c r="G874" s="3" t="s">
        <v>1221</v>
      </c>
      <c r="H874" s="3" t="s">
        <v>1928</v>
      </c>
      <c r="I874" s="3"/>
      <c r="J874" s="3" t="s">
        <v>1224</v>
      </c>
      <c r="K874" s="3" t="s">
        <v>1225</v>
      </c>
      <c r="L874" s="3" t="s">
        <v>1226</v>
      </c>
      <c r="M874" s="3" t="s">
        <v>1227</v>
      </c>
      <c r="N874" s="3" t="s">
        <v>1411</v>
      </c>
    </row>
    <row r="875" spans="1:14" x14ac:dyDescent="0.45">
      <c r="A875" s="3" t="s">
        <v>546</v>
      </c>
      <c r="B875" s="3" t="s">
        <v>547</v>
      </c>
      <c r="C875" s="3" t="s">
        <v>1759</v>
      </c>
      <c r="D875" s="3"/>
      <c r="E875" s="3" t="s">
        <v>1266</v>
      </c>
      <c r="F875" s="79">
        <v>29</v>
      </c>
      <c r="G875" s="3" t="s">
        <v>1221</v>
      </c>
      <c r="H875" s="3" t="s">
        <v>1928</v>
      </c>
      <c r="I875" s="3"/>
      <c r="J875" s="3" t="s">
        <v>1260</v>
      </c>
      <c r="K875" s="3" t="s">
        <v>1821</v>
      </c>
      <c r="L875" s="3" t="s">
        <v>1822</v>
      </c>
      <c r="M875" s="3" t="s">
        <v>1823</v>
      </c>
      <c r="N875" s="3" t="s">
        <v>1418</v>
      </c>
    </row>
    <row r="876" spans="1:14" x14ac:dyDescent="0.45">
      <c r="A876" s="3" t="s">
        <v>546</v>
      </c>
      <c r="B876" s="3" t="s">
        <v>547</v>
      </c>
      <c r="C876" s="3" t="s">
        <v>1761</v>
      </c>
      <c r="D876" s="3"/>
      <c r="E876" s="3" t="s">
        <v>1273</v>
      </c>
      <c r="F876" s="79">
        <v>37</v>
      </c>
      <c r="G876" s="3" t="s">
        <v>1221</v>
      </c>
      <c r="H876" s="3" t="s">
        <v>1928</v>
      </c>
      <c r="I876" s="3"/>
      <c r="J876" s="3" t="s">
        <v>1260</v>
      </c>
      <c r="K876" s="3" t="s">
        <v>1825</v>
      </c>
      <c r="L876" s="3" t="s">
        <v>1826</v>
      </c>
      <c r="M876" s="3" t="s">
        <v>1827</v>
      </c>
      <c r="N876" s="3" t="s">
        <v>1622</v>
      </c>
    </row>
    <row r="877" spans="1:14" x14ac:dyDescent="0.45">
      <c r="A877" s="3" t="s">
        <v>546</v>
      </c>
      <c r="B877" s="3" t="s">
        <v>547</v>
      </c>
      <c r="C877" s="3" t="s">
        <v>1763</v>
      </c>
      <c r="D877" s="3"/>
      <c r="E877" s="3" t="s">
        <v>1280</v>
      </c>
      <c r="F877" s="79">
        <v>28</v>
      </c>
      <c r="G877" s="3" t="s">
        <v>1221</v>
      </c>
      <c r="H877" s="3" t="s">
        <v>1928</v>
      </c>
      <c r="I877" s="3"/>
      <c r="J877" s="3" t="s">
        <v>1260</v>
      </c>
      <c r="K877" s="3" t="s">
        <v>1261</v>
      </c>
      <c r="L877" s="3" t="s">
        <v>1262</v>
      </c>
      <c r="M877" s="3" t="s">
        <v>1263</v>
      </c>
      <c r="N877" s="3" t="s">
        <v>1718</v>
      </c>
    </row>
    <row r="878" spans="1:14" x14ac:dyDescent="0.45">
      <c r="A878" s="3" t="s">
        <v>546</v>
      </c>
      <c r="B878" s="3" t="s">
        <v>547</v>
      </c>
      <c r="C878" s="3" t="s">
        <v>1765</v>
      </c>
      <c r="D878" s="3"/>
      <c r="E878" s="3" t="s">
        <v>1238</v>
      </c>
      <c r="F878" s="79">
        <v>30</v>
      </c>
      <c r="G878" s="3" t="s">
        <v>1221</v>
      </c>
      <c r="H878" s="3" t="s">
        <v>1928</v>
      </c>
      <c r="I878" s="3"/>
      <c r="J878" s="3" t="s">
        <v>1224</v>
      </c>
      <c r="K878" s="3" t="s">
        <v>1232</v>
      </c>
      <c r="L878" s="3" t="s">
        <v>1233</v>
      </c>
      <c r="M878" s="3" t="s">
        <v>1234</v>
      </c>
      <c r="N878" s="3" t="s">
        <v>1627</v>
      </c>
    </row>
    <row r="879" spans="1:14" x14ac:dyDescent="0.45">
      <c r="A879" s="3" t="s">
        <v>546</v>
      </c>
      <c r="B879" s="3" t="s">
        <v>547</v>
      </c>
      <c r="C879" s="3" t="s">
        <v>1767</v>
      </c>
      <c r="D879" s="3"/>
      <c r="E879" s="3" t="s">
        <v>1288</v>
      </c>
      <c r="F879" s="79">
        <v>36</v>
      </c>
      <c r="G879" s="3" t="s">
        <v>1221</v>
      </c>
      <c r="H879" s="3" t="s">
        <v>1928</v>
      </c>
      <c r="I879" s="3"/>
      <c r="J879" s="3" t="s">
        <v>1260</v>
      </c>
      <c r="K879" s="3" t="s">
        <v>1267</v>
      </c>
      <c r="L879" s="3" t="s">
        <v>1268</v>
      </c>
      <c r="M879" s="3" t="s">
        <v>1269</v>
      </c>
      <c r="N879" s="3" t="s">
        <v>1420</v>
      </c>
    </row>
    <row r="880" spans="1:14" x14ac:dyDescent="0.45">
      <c r="A880" s="3" t="s">
        <v>546</v>
      </c>
      <c r="B880" s="3" t="s">
        <v>547</v>
      </c>
      <c r="C880" s="3" t="s">
        <v>1769</v>
      </c>
      <c r="D880" s="3"/>
      <c r="E880" s="3" t="s">
        <v>1295</v>
      </c>
      <c r="F880" s="79">
        <v>42</v>
      </c>
      <c r="G880" s="3" t="s">
        <v>1221</v>
      </c>
      <c r="H880" s="3" t="s">
        <v>1928</v>
      </c>
      <c r="I880" s="3"/>
      <c r="J880" s="3" t="s">
        <v>1260</v>
      </c>
      <c r="K880" s="3" t="s">
        <v>1274</v>
      </c>
      <c r="L880" s="3" t="s">
        <v>1275</v>
      </c>
      <c r="M880" s="3" t="s">
        <v>1276</v>
      </c>
      <c r="N880" s="3" t="s">
        <v>1623</v>
      </c>
    </row>
    <row r="881" spans="1:14" x14ac:dyDescent="0.45">
      <c r="A881" s="3" t="s">
        <v>546</v>
      </c>
      <c r="B881" s="3" t="s">
        <v>547</v>
      </c>
      <c r="C881" s="3" t="s">
        <v>1771</v>
      </c>
      <c r="D881" s="3"/>
      <c r="E881" s="3" t="s">
        <v>1302</v>
      </c>
      <c r="F881" s="79">
        <v>27</v>
      </c>
      <c r="G881" s="3" t="s">
        <v>1221</v>
      </c>
      <c r="H881" s="3" t="s">
        <v>1928</v>
      </c>
      <c r="I881" s="3"/>
      <c r="J881" s="3" t="s">
        <v>1260</v>
      </c>
      <c r="K881" s="3" t="s">
        <v>1281</v>
      </c>
      <c r="L881" s="3" t="s">
        <v>1282</v>
      </c>
      <c r="M881" s="3" t="s">
        <v>1283</v>
      </c>
      <c r="N881" s="3" t="s">
        <v>1417</v>
      </c>
    </row>
    <row r="882" spans="1:14" x14ac:dyDescent="0.45">
      <c r="A882" s="3" t="s">
        <v>546</v>
      </c>
      <c r="B882" s="3" t="s">
        <v>547</v>
      </c>
      <c r="C882" s="3" t="s">
        <v>1773</v>
      </c>
      <c r="D882" s="3"/>
      <c r="E882" s="3" t="s">
        <v>1245</v>
      </c>
      <c r="F882" s="79">
        <v>32</v>
      </c>
      <c r="G882" s="3" t="s">
        <v>1221</v>
      </c>
      <c r="H882" s="3" t="s">
        <v>1928</v>
      </c>
      <c r="I882" s="3"/>
      <c r="J882" s="3" t="s">
        <v>1224</v>
      </c>
      <c r="K882" s="3" t="s">
        <v>1239</v>
      </c>
      <c r="L882" s="3" t="s">
        <v>1240</v>
      </c>
      <c r="M882" s="3" t="s">
        <v>1241</v>
      </c>
      <c r="N882" s="3" t="s">
        <v>1676</v>
      </c>
    </row>
    <row r="883" spans="1:14" x14ac:dyDescent="0.45">
      <c r="A883" s="3" t="s">
        <v>546</v>
      </c>
      <c r="B883" s="3" t="s">
        <v>547</v>
      </c>
      <c r="C883" s="3" t="s">
        <v>1775</v>
      </c>
      <c r="D883" s="3"/>
      <c r="E883" s="3" t="s">
        <v>1310</v>
      </c>
      <c r="F883" s="79">
        <v>49</v>
      </c>
      <c r="G883" s="3" t="s">
        <v>1221</v>
      </c>
      <c r="H883" s="3" t="s">
        <v>1928</v>
      </c>
      <c r="I883" s="3"/>
      <c r="J883" s="3" t="s">
        <v>1260</v>
      </c>
      <c r="K883" s="3" t="s">
        <v>1289</v>
      </c>
      <c r="L883" s="3" t="s">
        <v>1290</v>
      </c>
      <c r="M883" s="3" t="s">
        <v>1291</v>
      </c>
      <c r="N883" s="3" t="s">
        <v>1892</v>
      </c>
    </row>
    <row r="884" spans="1:14" x14ac:dyDescent="0.45">
      <c r="A884" s="3" t="s">
        <v>546</v>
      </c>
      <c r="B884" s="3" t="s">
        <v>547</v>
      </c>
      <c r="C884" s="3" t="s">
        <v>1777</v>
      </c>
      <c r="D884" s="3"/>
      <c r="E884" s="3" t="s">
        <v>1317</v>
      </c>
      <c r="F884" s="79">
        <v>33</v>
      </c>
      <c r="G884" s="3" t="s">
        <v>1221</v>
      </c>
      <c r="H884" s="3" t="s">
        <v>1928</v>
      </c>
      <c r="I884" s="3"/>
      <c r="J884" s="3" t="s">
        <v>1260</v>
      </c>
      <c r="K884" s="3" t="s">
        <v>1296</v>
      </c>
      <c r="L884" s="3" t="s">
        <v>1297</v>
      </c>
      <c r="M884" s="3" t="s">
        <v>1298</v>
      </c>
      <c r="N884" s="3" t="s">
        <v>1705</v>
      </c>
    </row>
    <row r="885" spans="1:14" x14ac:dyDescent="0.45">
      <c r="A885" s="3" t="s">
        <v>546</v>
      </c>
      <c r="B885" s="3" t="s">
        <v>547</v>
      </c>
      <c r="C885" s="3" t="s">
        <v>1779</v>
      </c>
      <c r="D885" s="3"/>
      <c r="E885" s="3" t="s">
        <v>1324</v>
      </c>
      <c r="F885" s="79">
        <v>30</v>
      </c>
      <c r="G885" s="3" t="s">
        <v>1221</v>
      </c>
      <c r="H885" s="3" t="s">
        <v>1928</v>
      </c>
      <c r="I885" s="3"/>
      <c r="J885" s="3" t="s">
        <v>1260</v>
      </c>
      <c r="K885" s="3" t="s">
        <v>1303</v>
      </c>
      <c r="L885" s="3" t="s">
        <v>1304</v>
      </c>
      <c r="M885" s="3" t="s">
        <v>1305</v>
      </c>
      <c r="N885" s="3" t="s">
        <v>1627</v>
      </c>
    </row>
    <row r="886" spans="1:14" x14ac:dyDescent="0.45">
      <c r="A886" s="3" t="s">
        <v>546</v>
      </c>
      <c r="B886" s="3" t="s">
        <v>547</v>
      </c>
      <c r="C886" s="3" t="s">
        <v>1781</v>
      </c>
      <c r="D886" s="3"/>
      <c r="E886" s="3" t="s">
        <v>1252</v>
      </c>
      <c r="F886" s="79">
        <v>37</v>
      </c>
      <c r="G886" s="3" t="s">
        <v>1221</v>
      </c>
      <c r="H886" s="3" t="s">
        <v>1928</v>
      </c>
      <c r="I886" s="3"/>
      <c r="J886" s="3" t="s">
        <v>1224</v>
      </c>
      <c r="K886" s="3" t="s">
        <v>1246</v>
      </c>
      <c r="L886" s="3" t="s">
        <v>1247</v>
      </c>
      <c r="M886" s="3" t="s">
        <v>1248</v>
      </c>
      <c r="N886" s="3" t="s">
        <v>1622</v>
      </c>
    </row>
    <row r="887" spans="1:14" x14ac:dyDescent="0.45">
      <c r="A887" s="3" t="s">
        <v>546</v>
      </c>
      <c r="B887" s="3" t="s">
        <v>547</v>
      </c>
      <c r="C887" s="3" t="s">
        <v>1783</v>
      </c>
      <c r="D887" s="3"/>
      <c r="E887" s="3" t="s">
        <v>1332</v>
      </c>
      <c r="F887" s="79">
        <v>48</v>
      </c>
      <c r="G887" s="3" t="s">
        <v>1221</v>
      </c>
      <c r="H887" s="3" t="s">
        <v>1928</v>
      </c>
      <c r="I887" s="3"/>
      <c r="J887" s="3" t="s">
        <v>1260</v>
      </c>
      <c r="K887" s="3" t="s">
        <v>1311</v>
      </c>
      <c r="L887" s="3" t="s">
        <v>1312</v>
      </c>
      <c r="M887" s="3" t="s">
        <v>1313</v>
      </c>
      <c r="N887" s="3" t="s">
        <v>1685</v>
      </c>
    </row>
    <row r="888" spans="1:14" x14ac:dyDescent="0.45">
      <c r="A888" s="3" t="s">
        <v>546</v>
      </c>
      <c r="B888" s="3" t="s">
        <v>547</v>
      </c>
      <c r="C888" s="3" t="s">
        <v>1785</v>
      </c>
      <c r="D888" s="3"/>
      <c r="E888" s="3" t="s">
        <v>1339</v>
      </c>
      <c r="F888" s="79">
        <v>49</v>
      </c>
      <c r="G888" s="3" t="s">
        <v>1221</v>
      </c>
      <c r="H888" s="3" t="s">
        <v>1928</v>
      </c>
      <c r="I888" s="3"/>
      <c r="J888" s="3" t="s">
        <v>1260</v>
      </c>
      <c r="K888" s="3" t="s">
        <v>1318</v>
      </c>
      <c r="L888" s="3" t="s">
        <v>1319</v>
      </c>
      <c r="M888" s="3" t="s">
        <v>1320</v>
      </c>
      <c r="N888" s="3" t="s">
        <v>1892</v>
      </c>
    </row>
    <row r="889" spans="1:14" x14ac:dyDescent="0.45">
      <c r="A889" s="3" t="s">
        <v>546</v>
      </c>
      <c r="B889" s="3" t="s">
        <v>547</v>
      </c>
      <c r="C889" s="3" t="s">
        <v>1787</v>
      </c>
      <c r="D889" s="3"/>
      <c r="E889" s="3" t="s">
        <v>1346</v>
      </c>
      <c r="F889" s="79">
        <v>50</v>
      </c>
      <c r="G889" s="3" t="s">
        <v>1221</v>
      </c>
      <c r="H889" s="3" t="s">
        <v>1928</v>
      </c>
      <c r="I889" s="3"/>
      <c r="J889" s="3" t="s">
        <v>1260</v>
      </c>
      <c r="K889" s="3" t="s">
        <v>1325</v>
      </c>
      <c r="L889" s="3" t="s">
        <v>1326</v>
      </c>
      <c r="M889" s="3" t="s">
        <v>1327</v>
      </c>
      <c r="N889" s="3" t="s">
        <v>1424</v>
      </c>
    </row>
    <row r="890" spans="1:14" x14ac:dyDescent="0.45">
      <c r="A890" s="3" t="s">
        <v>546</v>
      </c>
      <c r="B890" s="3" t="s">
        <v>547</v>
      </c>
      <c r="C890" s="3" t="s">
        <v>1789</v>
      </c>
      <c r="D890" s="3"/>
      <c r="E890" s="3" t="s">
        <v>1256</v>
      </c>
      <c r="F890" s="79">
        <v>47</v>
      </c>
      <c r="G890" s="3" t="s">
        <v>1221</v>
      </c>
      <c r="H890" s="3" t="s">
        <v>1928</v>
      </c>
      <c r="I890" s="3"/>
      <c r="J890" s="3" t="s">
        <v>1260</v>
      </c>
      <c r="K890" s="3" t="s">
        <v>1340</v>
      </c>
      <c r="L890" s="3" t="s">
        <v>1341</v>
      </c>
      <c r="M890" s="3" t="s">
        <v>1342</v>
      </c>
      <c r="N890" s="3" t="s">
        <v>1749</v>
      </c>
    </row>
    <row r="891" spans="1:14" x14ac:dyDescent="0.45">
      <c r="A891" s="3" t="s">
        <v>546</v>
      </c>
      <c r="B891" s="3" t="s">
        <v>547</v>
      </c>
      <c r="C891" s="3" t="s">
        <v>1791</v>
      </c>
      <c r="D891" s="3"/>
      <c r="E891" s="3" t="s">
        <v>1352</v>
      </c>
      <c r="F891" s="79">
        <v>70</v>
      </c>
      <c r="G891" s="3" t="s">
        <v>1221</v>
      </c>
      <c r="H891" s="3" t="s">
        <v>1928</v>
      </c>
      <c r="I891" s="3"/>
      <c r="J891" s="3" t="s">
        <v>1260</v>
      </c>
      <c r="K891" s="3" t="s">
        <v>1333</v>
      </c>
      <c r="L891" s="3" t="s">
        <v>1334</v>
      </c>
      <c r="M891" s="3" t="s">
        <v>1335</v>
      </c>
      <c r="N891" s="3" t="s">
        <v>1750</v>
      </c>
    </row>
    <row r="892" spans="1:14" x14ac:dyDescent="0.45">
      <c r="A892" s="3" t="s">
        <v>546</v>
      </c>
      <c r="B892" s="3" t="s">
        <v>547</v>
      </c>
      <c r="C892" s="3" t="s">
        <v>1793</v>
      </c>
      <c r="D892" s="3"/>
      <c r="E892" s="3" t="s">
        <v>1356</v>
      </c>
      <c r="F892" s="79">
        <v>40</v>
      </c>
      <c r="G892" s="3" t="s">
        <v>1221</v>
      </c>
      <c r="H892" s="3" t="s">
        <v>1928</v>
      </c>
      <c r="I892" s="3"/>
      <c r="J892" s="3" t="s">
        <v>1260</v>
      </c>
      <c r="K892" s="3" t="s">
        <v>1340</v>
      </c>
      <c r="L892" s="3" t="s">
        <v>1341</v>
      </c>
      <c r="M892" s="3" t="s">
        <v>1342</v>
      </c>
      <c r="N892" s="3" t="s">
        <v>1411</v>
      </c>
    </row>
    <row r="893" spans="1:14" x14ac:dyDescent="0.45">
      <c r="A893" s="3" t="s">
        <v>548</v>
      </c>
      <c r="B893" s="3" t="s">
        <v>1929</v>
      </c>
      <c r="C893" s="3" t="s">
        <v>1755</v>
      </c>
      <c r="D893" s="3"/>
      <c r="E893" s="3" t="s">
        <v>1220</v>
      </c>
      <c r="F893" s="79">
        <v>43</v>
      </c>
      <c r="G893" s="3" t="s">
        <v>1221</v>
      </c>
      <c r="H893" s="3" t="s">
        <v>1930</v>
      </c>
      <c r="I893" s="3"/>
      <c r="J893" s="3" t="s">
        <v>1224</v>
      </c>
      <c r="K893" s="3" t="s">
        <v>1817</v>
      </c>
      <c r="L893" s="3" t="s">
        <v>1818</v>
      </c>
      <c r="M893" s="3" t="s">
        <v>1819</v>
      </c>
      <c r="N893" s="3" t="s">
        <v>1422</v>
      </c>
    </row>
    <row r="894" spans="1:14" x14ac:dyDescent="0.45">
      <c r="A894" s="3" t="s">
        <v>548</v>
      </c>
      <c r="B894" s="3" t="s">
        <v>1929</v>
      </c>
      <c r="C894" s="3" t="s">
        <v>1757</v>
      </c>
      <c r="D894" s="3"/>
      <c r="E894" s="3" t="s">
        <v>1231</v>
      </c>
      <c r="F894" s="79">
        <v>44</v>
      </c>
      <c r="G894" s="3" t="s">
        <v>1221</v>
      </c>
      <c r="H894" s="3" t="s">
        <v>1930</v>
      </c>
      <c r="I894" s="3"/>
      <c r="J894" s="3" t="s">
        <v>1224</v>
      </c>
      <c r="K894" s="3" t="s">
        <v>1225</v>
      </c>
      <c r="L894" s="3" t="s">
        <v>1226</v>
      </c>
      <c r="M894" s="3" t="s">
        <v>1227</v>
      </c>
      <c r="N894" s="3" t="s">
        <v>1847</v>
      </c>
    </row>
    <row r="895" spans="1:14" x14ac:dyDescent="0.45">
      <c r="A895" s="3" t="s">
        <v>548</v>
      </c>
      <c r="B895" s="3" t="s">
        <v>1929</v>
      </c>
      <c r="C895" s="3" t="s">
        <v>1759</v>
      </c>
      <c r="D895" s="3"/>
      <c r="E895" s="3" t="s">
        <v>1266</v>
      </c>
      <c r="F895" s="79">
        <v>42</v>
      </c>
      <c r="G895" s="3" t="s">
        <v>1221</v>
      </c>
      <c r="H895" s="3" t="s">
        <v>1930</v>
      </c>
      <c r="I895" s="3"/>
      <c r="J895" s="3" t="s">
        <v>1260</v>
      </c>
      <c r="K895" s="3" t="s">
        <v>1821</v>
      </c>
      <c r="L895" s="3" t="s">
        <v>1822</v>
      </c>
      <c r="M895" s="3" t="s">
        <v>1823</v>
      </c>
      <c r="N895" s="3" t="s">
        <v>1623</v>
      </c>
    </row>
    <row r="896" spans="1:14" x14ac:dyDescent="0.45">
      <c r="A896" s="3" t="s">
        <v>548</v>
      </c>
      <c r="B896" s="3" t="s">
        <v>1929</v>
      </c>
      <c r="C896" s="3" t="s">
        <v>1761</v>
      </c>
      <c r="D896" s="3"/>
      <c r="E896" s="3" t="s">
        <v>1273</v>
      </c>
      <c r="F896" s="79">
        <v>43</v>
      </c>
      <c r="G896" s="3" t="s">
        <v>1221</v>
      </c>
      <c r="H896" s="3" t="s">
        <v>1930</v>
      </c>
      <c r="I896" s="3"/>
      <c r="J896" s="3" t="s">
        <v>1260</v>
      </c>
      <c r="K896" s="3" t="s">
        <v>1825</v>
      </c>
      <c r="L896" s="3" t="s">
        <v>1826</v>
      </c>
      <c r="M896" s="3" t="s">
        <v>1827</v>
      </c>
      <c r="N896" s="3" t="s">
        <v>1422</v>
      </c>
    </row>
    <row r="897" spans="1:14" x14ac:dyDescent="0.45">
      <c r="A897" s="3" t="s">
        <v>548</v>
      </c>
      <c r="B897" s="3" t="s">
        <v>1929</v>
      </c>
      <c r="C897" s="3" t="s">
        <v>1763</v>
      </c>
      <c r="D897" s="3"/>
      <c r="E897" s="3" t="s">
        <v>1280</v>
      </c>
      <c r="F897" s="79">
        <v>40</v>
      </c>
      <c r="G897" s="3" t="s">
        <v>1221</v>
      </c>
      <c r="H897" s="3" t="s">
        <v>1930</v>
      </c>
      <c r="I897" s="3"/>
      <c r="J897" s="3" t="s">
        <v>1260</v>
      </c>
      <c r="K897" s="3" t="s">
        <v>1261</v>
      </c>
      <c r="L897" s="3" t="s">
        <v>1262</v>
      </c>
      <c r="M897" s="3" t="s">
        <v>1263</v>
      </c>
      <c r="N897" s="3" t="s">
        <v>1411</v>
      </c>
    </row>
    <row r="898" spans="1:14" x14ac:dyDescent="0.45">
      <c r="A898" s="3" t="s">
        <v>548</v>
      </c>
      <c r="B898" s="3" t="s">
        <v>1929</v>
      </c>
      <c r="C898" s="3" t="s">
        <v>1765</v>
      </c>
      <c r="D898" s="3"/>
      <c r="E898" s="3" t="s">
        <v>1238</v>
      </c>
      <c r="F898" s="79">
        <v>39</v>
      </c>
      <c r="G898" s="3" t="s">
        <v>1221</v>
      </c>
      <c r="H898" s="3" t="s">
        <v>1930</v>
      </c>
      <c r="I898" s="3"/>
      <c r="J898" s="3" t="s">
        <v>1224</v>
      </c>
      <c r="K898" s="3" t="s">
        <v>1232</v>
      </c>
      <c r="L898" s="3" t="s">
        <v>1233</v>
      </c>
      <c r="M898" s="3" t="s">
        <v>1234</v>
      </c>
      <c r="N898" s="3" t="s">
        <v>1421</v>
      </c>
    </row>
    <row r="899" spans="1:14" x14ac:dyDescent="0.45">
      <c r="A899" s="3" t="s">
        <v>548</v>
      </c>
      <c r="B899" s="3" t="s">
        <v>1929</v>
      </c>
      <c r="C899" s="3" t="s">
        <v>1767</v>
      </c>
      <c r="D899" s="3"/>
      <c r="E899" s="3" t="s">
        <v>1288</v>
      </c>
      <c r="F899" s="79">
        <v>43</v>
      </c>
      <c r="G899" s="3" t="s">
        <v>1221</v>
      </c>
      <c r="H899" s="3" t="s">
        <v>1930</v>
      </c>
      <c r="I899" s="3"/>
      <c r="J899" s="3" t="s">
        <v>1260</v>
      </c>
      <c r="K899" s="3" t="s">
        <v>1267</v>
      </c>
      <c r="L899" s="3" t="s">
        <v>1268</v>
      </c>
      <c r="M899" s="3" t="s">
        <v>1269</v>
      </c>
      <c r="N899" s="3" t="s">
        <v>1422</v>
      </c>
    </row>
    <row r="900" spans="1:14" x14ac:dyDescent="0.45">
      <c r="A900" s="3" t="s">
        <v>548</v>
      </c>
      <c r="B900" s="3" t="s">
        <v>1929</v>
      </c>
      <c r="C900" s="3" t="s">
        <v>1769</v>
      </c>
      <c r="D900" s="3"/>
      <c r="E900" s="3" t="s">
        <v>1295</v>
      </c>
      <c r="F900" s="79">
        <v>41</v>
      </c>
      <c r="G900" s="3" t="s">
        <v>1221</v>
      </c>
      <c r="H900" s="3" t="s">
        <v>1930</v>
      </c>
      <c r="I900" s="3"/>
      <c r="J900" s="3" t="s">
        <v>1260</v>
      </c>
      <c r="K900" s="3" t="s">
        <v>1274</v>
      </c>
      <c r="L900" s="3" t="s">
        <v>1275</v>
      </c>
      <c r="M900" s="3" t="s">
        <v>1276</v>
      </c>
      <c r="N900" s="3" t="s">
        <v>1415</v>
      </c>
    </row>
    <row r="901" spans="1:14" x14ac:dyDescent="0.45">
      <c r="A901" s="3" t="s">
        <v>548</v>
      </c>
      <c r="B901" s="3" t="s">
        <v>1929</v>
      </c>
      <c r="C901" s="3" t="s">
        <v>1771</v>
      </c>
      <c r="D901" s="3"/>
      <c r="E901" s="3" t="s">
        <v>1302</v>
      </c>
      <c r="F901" s="79">
        <v>38</v>
      </c>
      <c r="G901" s="3" t="s">
        <v>1221</v>
      </c>
      <c r="H901" s="3" t="s">
        <v>1930</v>
      </c>
      <c r="I901" s="3"/>
      <c r="J901" s="3" t="s">
        <v>1260</v>
      </c>
      <c r="K901" s="3" t="s">
        <v>1281</v>
      </c>
      <c r="L901" s="3" t="s">
        <v>1282</v>
      </c>
      <c r="M901" s="3" t="s">
        <v>1283</v>
      </c>
      <c r="N901" s="3" t="s">
        <v>1746</v>
      </c>
    </row>
    <row r="902" spans="1:14" x14ac:dyDescent="0.45">
      <c r="A902" s="3" t="s">
        <v>548</v>
      </c>
      <c r="B902" s="3" t="s">
        <v>1929</v>
      </c>
      <c r="C902" s="3" t="s">
        <v>1773</v>
      </c>
      <c r="D902" s="3"/>
      <c r="E902" s="3" t="s">
        <v>1245</v>
      </c>
      <c r="F902" s="79">
        <v>39</v>
      </c>
      <c r="G902" s="3" t="s">
        <v>1221</v>
      </c>
      <c r="H902" s="3" t="s">
        <v>1930</v>
      </c>
      <c r="I902" s="3"/>
      <c r="J902" s="3" t="s">
        <v>1224</v>
      </c>
      <c r="K902" s="3" t="s">
        <v>1239</v>
      </c>
      <c r="L902" s="3" t="s">
        <v>1240</v>
      </c>
      <c r="M902" s="3" t="s">
        <v>1241</v>
      </c>
      <c r="N902" s="3" t="s">
        <v>1421</v>
      </c>
    </row>
    <row r="903" spans="1:14" x14ac:dyDescent="0.45">
      <c r="A903" s="3" t="s">
        <v>548</v>
      </c>
      <c r="B903" s="3" t="s">
        <v>1929</v>
      </c>
      <c r="C903" s="3" t="s">
        <v>1775</v>
      </c>
      <c r="D903" s="3"/>
      <c r="E903" s="3" t="s">
        <v>1310</v>
      </c>
      <c r="F903" s="79">
        <v>50</v>
      </c>
      <c r="G903" s="3" t="s">
        <v>1221</v>
      </c>
      <c r="H903" s="3" t="s">
        <v>1930</v>
      </c>
      <c r="I903" s="3"/>
      <c r="J903" s="3" t="s">
        <v>1260</v>
      </c>
      <c r="K903" s="3" t="s">
        <v>1289</v>
      </c>
      <c r="L903" s="3" t="s">
        <v>1290</v>
      </c>
      <c r="M903" s="3" t="s">
        <v>1291</v>
      </c>
      <c r="N903" s="3" t="s">
        <v>1424</v>
      </c>
    </row>
    <row r="904" spans="1:14" x14ac:dyDescent="0.45">
      <c r="A904" s="3" t="s">
        <v>548</v>
      </c>
      <c r="B904" s="3" t="s">
        <v>1929</v>
      </c>
      <c r="C904" s="3" t="s">
        <v>1777</v>
      </c>
      <c r="D904" s="3"/>
      <c r="E904" s="3" t="s">
        <v>1317</v>
      </c>
      <c r="F904" s="79">
        <v>62</v>
      </c>
      <c r="G904" s="3" t="s">
        <v>1221</v>
      </c>
      <c r="H904" s="3" t="s">
        <v>1930</v>
      </c>
      <c r="I904" s="3"/>
      <c r="J904" s="3" t="s">
        <v>1260</v>
      </c>
      <c r="K904" s="3" t="s">
        <v>1296</v>
      </c>
      <c r="L904" s="3" t="s">
        <v>1297</v>
      </c>
      <c r="M904" s="3" t="s">
        <v>1298</v>
      </c>
      <c r="N904" s="3" t="s">
        <v>1539</v>
      </c>
    </row>
    <row r="905" spans="1:14" x14ac:dyDescent="0.45">
      <c r="A905" s="3" t="s">
        <v>548</v>
      </c>
      <c r="B905" s="3" t="s">
        <v>1929</v>
      </c>
      <c r="C905" s="3" t="s">
        <v>1779</v>
      </c>
      <c r="D905" s="3"/>
      <c r="E905" s="3" t="s">
        <v>1324</v>
      </c>
      <c r="F905" s="79">
        <v>62</v>
      </c>
      <c r="G905" s="3" t="s">
        <v>1221</v>
      </c>
      <c r="H905" s="3" t="s">
        <v>1930</v>
      </c>
      <c r="I905" s="3"/>
      <c r="J905" s="3" t="s">
        <v>1260</v>
      </c>
      <c r="K905" s="3" t="s">
        <v>1303</v>
      </c>
      <c r="L905" s="3" t="s">
        <v>1304</v>
      </c>
      <c r="M905" s="3" t="s">
        <v>1305</v>
      </c>
      <c r="N905" s="3" t="s">
        <v>1539</v>
      </c>
    </row>
    <row r="906" spans="1:14" x14ac:dyDescent="0.45">
      <c r="A906" s="3" t="s">
        <v>548</v>
      </c>
      <c r="B906" s="3" t="s">
        <v>1929</v>
      </c>
      <c r="C906" s="3" t="s">
        <v>1781</v>
      </c>
      <c r="D906" s="3"/>
      <c r="E906" s="3" t="s">
        <v>1252</v>
      </c>
      <c r="F906" s="79">
        <v>59</v>
      </c>
      <c r="G906" s="3" t="s">
        <v>1221</v>
      </c>
      <c r="H906" s="3" t="s">
        <v>1930</v>
      </c>
      <c r="I906" s="3"/>
      <c r="J906" s="3" t="s">
        <v>1224</v>
      </c>
      <c r="K906" s="3" t="s">
        <v>1246</v>
      </c>
      <c r="L906" s="3" t="s">
        <v>1247</v>
      </c>
      <c r="M906" s="3" t="s">
        <v>1248</v>
      </c>
      <c r="N906" s="3" t="s">
        <v>1893</v>
      </c>
    </row>
    <row r="907" spans="1:14" x14ac:dyDescent="0.45">
      <c r="A907" s="3" t="s">
        <v>548</v>
      </c>
      <c r="B907" s="3" t="s">
        <v>1929</v>
      </c>
      <c r="C907" s="3" t="s">
        <v>1783</v>
      </c>
      <c r="D907" s="3"/>
      <c r="E907" s="3" t="s">
        <v>1332</v>
      </c>
      <c r="F907" s="79">
        <v>58</v>
      </c>
      <c r="G907" s="3" t="s">
        <v>1221</v>
      </c>
      <c r="H907" s="3" t="s">
        <v>1930</v>
      </c>
      <c r="I907" s="3"/>
      <c r="J907" s="3" t="s">
        <v>1260</v>
      </c>
      <c r="K907" s="3" t="s">
        <v>1311</v>
      </c>
      <c r="L907" s="3" t="s">
        <v>1312</v>
      </c>
      <c r="M907" s="3" t="s">
        <v>1313</v>
      </c>
      <c r="N907" s="3" t="s">
        <v>1647</v>
      </c>
    </row>
    <row r="908" spans="1:14" x14ac:dyDescent="0.45">
      <c r="A908" s="3" t="s">
        <v>548</v>
      </c>
      <c r="B908" s="3" t="s">
        <v>1929</v>
      </c>
      <c r="C908" s="3" t="s">
        <v>1785</v>
      </c>
      <c r="D908" s="3"/>
      <c r="E908" s="3" t="s">
        <v>1339</v>
      </c>
      <c r="F908" s="79">
        <v>60</v>
      </c>
      <c r="G908" s="3" t="s">
        <v>1221</v>
      </c>
      <c r="H908" s="3" t="s">
        <v>1930</v>
      </c>
      <c r="I908" s="3"/>
      <c r="J908" s="3" t="s">
        <v>1260</v>
      </c>
      <c r="K908" s="3" t="s">
        <v>1318</v>
      </c>
      <c r="L908" s="3" t="s">
        <v>1319</v>
      </c>
      <c r="M908" s="3" t="s">
        <v>1320</v>
      </c>
      <c r="N908" s="3" t="s">
        <v>1432</v>
      </c>
    </row>
    <row r="909" spans="1:14" x14ac:dyDescent="0.45">
      <c r="A909" s="3" t="s">
        <v>548</v>
      </c>
      <c r="B909" s="3" t="s">
        <v>1929</v>
      </c>
      <c r="C909" s="3" t="s">
        <v>1787</v>
      </c>
      <c r="D909" s="3"/>
      <c r="E909" s="3" t="s">
        <v>1346</v>
      </c>
      <c r="F909" s="79">
        <v>63</v>
      </c>
      <c r="G909" s="3" t="s">
        <v>1221</v>
      </c>
      <c r="H909" s="3" t="s">
        <v>1930</v>
      </c>
      <c r="I909" s="3"/>
      <c r="J909" s="3" t="s">
        <v>1260</v>
      </c>
      <c r="K909" s="3" t="s">
        <v>1325</v>
      </c>
      <c r="L909" s="3" t="s">
        <v>1326</v>
      </c>
      <c r="M909" s="3" t="s">
        <v>1327</v>
      </c>
      <c r="N909" s="3" t="s">
        <v>1270</v>
      </c>
    </row>
    <row r="910" spans="1:14" x14ac:dyDescent="0.45">
      <c r="A910" s="3" t="s">
        <v>548</v>
      </c>
      <c r="B910" s="3" t="s">
        <v>1929</v>
      </c>
      <c r="C910" s="3" t="s">
        <v>1789</v>
      </c>
      <c r="D910" s="3"/>
      <c r="E910" s="3" t="s">
        <v>1256</v>
      </c>
      <c r="F910" s="79">
        <v>68</v>
      </c>
      <c r="G910" s="3" t="s">
        <v>1221</v>
      </c>
      <c r="H910" s="3" t="s">
        <v>1930</v>
      </c>
      <c r="I910" s="3"/>
      <c r="J910" s="3" t="s">
        <v>1260</v>
      </c>
      <c r="K910" s="3" t="s">
        <v>1340</v>
      </c>
      <c r="L910" s="3" t="s">
        <v>1341</v>
      </c>
      <c r="M910" s="3" t="s">
        <v>1342</v>
      </c>
      <c r="N910" s="3" t="s">
        <v>1558</v>
      </c>
    </row>
    <row r="911" spans="1:14" x14ac:dyDescent="0.45">
      <c r="A911" s="3" t="s">
        <v>548</v>
      </c>
      <c r="B911" s="3" t="s">
        <v>1929</v>
      </c>
      <c r="C911" s="3" t="s">
        <v>1791</v>
      </c>
      <c r="D911" s="3"/>
      <c r="E911" s="3" t="s">
        <v>1352</v>
      </c>
      <c r="F911" s="79">
        <v>73</v>
      </c>
      <c r="G911" s="3" t="s">
        <v>1221</v>
      </c>
      <c r="H911" s="3" t="s">
        <v>1930</v>
      </c>
      <c r="I911" s="3"/>
      <c r="J911" s="3" t="s">
        <v>1260</v>
      </c>
      <c r="K911" s="3" t="s">
        <v>1333</v>
      </c>
      <c r="L911" s="3" t="s">
        <v>1334</v>
      </c>
      <c r="M911" s="3" t="s">
        <v>1335</v>
      </c>
      <c r="N911" s="3" t="s">
        <v>1748</v>
      </c>
    </row>
    <row r="912" spans="1:14" x14ac:dyDescent="0.45">
      <c r="A912" s="3" t="s">
        <v>548</v>
      </c>
      <c r="B912" s="3" t="s">
        <v>1929</v>
      </c>
      <c r="C912" s="3" t="s">
        <v>1793</v>
      </c>
      <c r="D912" s="3"/>
      <c r="E912" s="3" t="s">
        <v>1356</v>
      </c>
      <c r="F912" s="79">
        <v>77</v>
      </c>
      <c r="G912" s="3" t="s">
        <v>1221</v>
      </c>
      <c r="H912" s="3" t="s">
        <v>1930</v>
      </c>
      <c r="I912" s="3"/>
      <c r="J912" s="3" t="s">
        <v>1260</v>
      </c>
      <c r="K912" s="3" t="s">
        <v>1340</v>
      </c>
      <c r="L912" s="3" t="s">
        <v>1341</v>
      </c>
      <c r="M912" s="3" t="s">
        <v>1342</v>
      </c>
      <c r="N912" s="3" t="s">
        <v>1520</v>
      </c>
    </row>
    <row r="913" spans="1:14" x14ac:dyDescent="0.45">
      <c r="A913" s="3" t="s">
        <v>1172</v>
      </c>
      <c r="B913" s="3" t="s">
        <v>553</v>
      </c>
      <c r="C913" s="3" t="s">
        <v>1755</v>
      </c>
      <c r="D913" s="3"/>
      <c r="E913" s="3" t="s">
        <v>1220</v>
      </c>
      <c r="F913" s="79">
        <v>136</v>
      </c>
      <c r="G913" s="3" t="s">
        <v>1221</v>
      </c>
      <c r="H913" s="3" t="s">
        <v>1931</v>
      </c>
      <c r="I913" s="3"/>
      <c r="J913" s="3" t="s">
        <v>1224</v>
      </c>
      <c r="K913" s="3" t="s">
        <v>1817</v>
      </c>
      <c r="L913" s="3" t="s">
        <v>1818</v>
      </c>
      <c r="M913" s="3" t="s">
        <v>1819</v>
      </c>
      <c r="N913" s="3" t="s">
        <v>1852</v>
      </c>
    </row>
    <row r="914" spans="1:14" x14ac:dyDescent="0.45">
      <c r="A914" s="3" t="s">
        <v>1172</v>
      </c>
      <c r="B914" s="3" t="s">
        <v>553</v>
      </c>
      <c r="C914" s="3" t="s">
        <v>1757</v>
      </c>
      <c r="D914" s="3"/>
      <c r="E914" s="3" t="s">
        <v>1231</v>
      </c>
      <c r="F914" s="79">
        <v>352</v>
      </c>
      <c r="G914" s="3" t="s">
        <v>1221</v>
      </c>
      <c r="H914" s="3" t="s">
        <v>1931</v>
      </c>
      <c r="I914" s="3"/>
      <c r="J914" s="3" t="s">
        <v>1224</v>
      </c>
      <c r="K914" s="3" t="s">
        <v>1225</v>
      </c>
      <c r="L914" s="3" t="s">
        <v>1226</v>
      </c>
      <c r="M914" s="3" t="s">
        <v>1227</v>
      </c>
      <c r="N914" s="3" t="s">
        <v>1932</v>
      </c>
    </row>
    <row r="915" spans="1:14" x14ac:dyDescent="0.45">
      <c r="A915" s="3" t="s">
        <v>1172</v>
      </c>
      <c r="B915" s="3" t="s">
        <v>553</v>
      </c>
      <c r="C915" s="3" t="s">
        <v>1759</v>
      </c>
      <c r="D915" s="3"/>
      <c r="E915" s="3" t="s">
        <v>1266</v>
      </c>
      <c r="F915" s="79">
        <v>404</v>
      </c>
      <c r="G915" s="3" t="s">
        <v>1221</v>
      </c>
      <c r="H915" s="3" t="s">
        <v>1931</v>
      </c>
      <c r="I915" s="3"/>
      <c r="J915" s="3" t="s">
        <v>1260</v>
      </c>
      <c r="K915" s="3" t="s">
        <v>1821</v>
      </c>
      <c r="L915" s="3" t="s">
        <v>1822</v>
      </c>
      <c r="M915" s="3" t="s">
        <v>1823</v>
      </c>
      <c r="N915" s="3" t="s">
        <v>1933</v>
      </c>
    </row>
    <row r="916" spans="1:14" x14ac:dyDescent="0.45">
      <c r="A916" s="3" t="s">
        <v>1172</v>
      </c>
      <c r="B916" s="3" t="s">
        <v>553</v>
      </c>
      <c r="C916" s="3" t="s">
        <v>1761</v>
      </c>
      <c r="D916" s="3"/>
      <c r="E916" s="3" t="s">
        <v>1273</v>
      </c>
      <c r="F916" s="79">
        <v>457</v>
      </c>
      <c r="G916" s="3" t="s">
        <v>1221</v>
      </c>
      <c r="H916" s="3" t="s">
        <v>1931</v>
      </c>
      <c r="I916" s="3"/>
      <c r="J916" s="3" t="s">
        <v>1260</v>
      </c>
      <c r="K916" s="3" t="s">
        <v>1825</v>
      </c>
      <c r="L916" s="3" t="s">
        <v>1826</v>
      </c>
      <c r="M916" s="3" t="s">
        <v>1827</v>
      </c>
      <c r="N916" s="3" t="s">
        <v>1820</v>
      </c>
    </row>
    <row r="917" spans="1:14" x14ac:dyDescent="0.45">
      <c r="A917" s="3" t="s">
        <v>1172</v>
      </c>
      <c r="B917" s="3" t="s">
        <v>553</v>
      </c>
      <c r="C917" s="3" t="s">
        <v>1763</v>
      </c>
      <c r="D917" s="3"/>
      <c r="E917" s="3" t="s">
        <v>1280</v>
      </c>
      <c r="F917" s="79">
        <v>457</v>
      </c>
      <c r="G917" s="3" t="s">
        <v>1221</v>
      </c>
      <c r="H917" s="3" t="s">
        <v>1931</v>
      </c>
      <c r="I917" s="3"/>
      <c r="J917" s="3" t="s">
        <v>1260</v>
      </c>
      <c r="K917" s="3" t="s">
        <v>1261</v>
      </c>
      <c r="L917" s="3" t="s">
        <v>1262</v>
      </c>
      <c r="M917" s="3" t="s">
        <v>1263</v>
      </c>
      <c r="N917" s="3" t="s">
        <v>1820</v>
      </c>
    </row>
    <row r="918" spans="1:14" x14ac:dyDescent="0.45">
      <c r="A918" s="3" t="s">
        <v>1172</v>
      </c>
      <c r="B918" s="3" t="s">
        <v>553</v>
      </c>
      <c r="C918" s="3" t="s">
        <v>1765</v>
      </c>
      <c r="D918" s="3"/>
      <c r="E918" s="3" t="s">
        <v>1238</v>
      </c>
      <c r="F918" s="79">
        <v>496</v>
      </c>
      <c r="G918" s="3" t="s">
        <v>1221</v>
      </c>
      <c r="H918" s="3" t="s">
        <v>1931</v>
      </c>
      <c r="I918" s="3"/>
      <c r="J918" s="3" t="s">
        <v>1224</v>
      </c>
      <c r="K918" s="3" t="s">
        <v>1232</v>
      </c>
      <c r="L918" s="3" t="s">
        <v>1233</v>
      </c>
      <c r="M918" s="3" t="s">
        <v>1234</v>
      </c>
      <c r="N918" s="3" t="s">
        <v>1934</v>
      </c>
    </row>
    <row r="919" spans="1:14" x14ac:dyDescent="0.45">
      <c r="A919" s="3" t="s">
        <v>1172</v>
      </c>
      <c r="B919" s="3" t="s">
        <v>553</v>
      </c>
      <c r="C919" s="3" t="s">
        <v>1767</v>
      </c>
      <c r="D919" s="3"/>
      <c r="E919" s="3" t="s">
        <v>1288</v>
      </c>
      <c r="F919" s="79">
        <v>538</v>
      </c>
      <c r="G919" s="3" t="s">
        <v>1221</v>
      </c>
      <c r="H919" s="3" t="s">
        <v>1931</v>
      </c>
      <c r="I919" s="3"/>
      <c r="J919" s="3" t="s">
        <v>1260</v>
      </c>
      <c r="K919" s="3" t="s">
        <v>1267</v>
      </c>
      <c r="L919" s="3" t="s">
        <v>1268</v>
      </c>
      <c r="M919" s="3" t="s">
        <v>1269</v>
      </c>
      <c r="N919" s="3" t="s">
        <v>1935</v>
      </c>
    </row>
    <row r="920" spans="1:14" x14ac:dyDescent="0.45">
      <c r="A920" s="3" t="s">
        <v>1172</v>
      </c>
      <c r="B920" s="3" t="s">
        <v>553</v>
      </c>
      <c r="C920" s="3" t="s">
        <v>1769</v>
      </c>
      <c r="D920" s="3"/>
      <c r="E920" s="3" t="s">
        <v>1295</v>
      </c>
      <c r="F920" s="79">
        <v>584</v>
      </c>
      <c r="G920" s="3" t="s">
        <v>1221</v>
      </c>
      <c r="H920" s="3" t="s">
        <v>1931</v>
      </c>
      <c r="I920" s="3"/>
      <c r="J920" s="3" t="s">
        <v>1260</v>
      </c>
      <c r="K920" s="3" t="s">
        <v>1274</v>
      </c>
      <c r="L920" s="3" t="s">
        <v>1275</v>
      </c>
      <c r="M920" s="3" t="s">
        <v>1276</v>
      </c>
      <c r="N920" s="3" t="s">
        <v>1936</v>
      </c>
    </row>
    <row r="921" spans="1:14" x14ac:dyDescent="0.45">
      <c r="A921" s="3" t="s">
        <v>1172</v>
      </c>
      <c r="B921" s="3" t="s">
        <v>553</v>
      </c>
      <c r="C921" s="3" t="s">
        <v>1771</v>
      </c>
      <c r="D921" s="3"/>
      <c r="E921" s="3" t="s">
        <v>1302</v>
      </c>
      <c r="F921" s="79">
        <v>574</v>
      </c>
      <c r="G921" s="3" t="s">
        <v>1221</v>
      </c>
      <c r="H921" s="3" t="s">
        <v>1931</v>
      </c>
      <c r="I921" s="3"/>
      <c r="J921" s="3" t="s">
        <v>1260</v>
      </c>
      <c r="K921" s="3" t="s">
        <v>1281</v>
      </c>
      <c r="L921" s="3" t="s">
        <v>1282</v>
      </c>
      <c r="M921" s="3" t="s">
        <v>1283</v>
      </c>
      <c r="N921" s="3" t="s">
        <v>1937</v>
      </c>
    </row>
    <row r="922" spans="1:14" x14ac:dyDescent="0.45">
      <c r="A922" s="3" t="s">
        <v>1172</v>
      </c>
      <c r="B922" s="3" t="s">
        <v>553</v>
      </c>
      <c r="C922" s="3" t="s">
        <v>1773</v>
      </c>
      <c r="D922" s="3"/>
      <c r="E922" s="3" t="s">
        <v>1245</v>
      </c>
      <c r="F922" s="79">
        <v>663</v>
      </c>
      <c r="G922" s="3" t="s">
        <v>1221</v>
      </c>
      <c r="H922" s="3" t="s">
        <v>1931</v>
      </c>
      <c r="I922" s="3"/>
      <c r="J922" s="3" t="s">
        <v>1224</v>
      </c>
      <c r="K922" s="3" t="s">
        <v>1239</v>
      </c>
      <c r="L922" s="3" t="s">
        <v>1240</v>
      </c>
      <c r="M922" s="3" t="s">
        <v>1241</v>
      </c>
      <c r="N922" s="3" t="s">
        <v>1938</v>
      </c>
    </row>
    <row r="923" spans="1:14" x14ac:dyDescent="0.45">
      <c r="A923" s="3" t="s">
        <v>1172</v>
      </c>
      <c r="B923" s="3" t="s">
        <v>553</v>
      </c>
      <c r="C923" s="3" t="s">
        <v>1775</v>
      </c>
      <c r="D923" s="3"/>
      <c r="E923" s="3" t="s">
        <v>1310</v>
      </c>
      <c r="F923" s="79">
        <v>713</v>
      </c>
      <c r="G923" s="3" t="s">
        <v>1221</v>
      </c>
      <c r="H923" s="3" t="s">
        <v>1931</v>
      </c>
      <c r="I923" s="3"/>
      <c r="J923" s="3" t="s">
        <v>1260</v>
      </c>
      <c r="K923" s="3" t="s">
        <v>1289</v>
      </c>
      <c r="L923" s="3" t="s">
        <v>1290</v>
      </c>
      <c r="M923" s="3" t="s">
        <v>1291</v>
      </c>
      <c r="N923" s="3" t="s">
        <v>1939</v>
      </c>
    </row>
    <row r="924" spans="1:14" x14ac:dyDescent="0.45">
      <c r="A924" s="3" t="s">
        <v>1172</v>
      </c>
      <c r="B924" s="3" t="s">
        <v>553</v>
      </c>
      <c r="C924" s="3" t="s">
        <v>1777</v>
      </c>
      <c r="D924" s="3"/>
      <c r="E924" s="3" t="s">
        <v>1317</v>
      </c>
      <c r="F924" s="79">
        <v>736</v>
      </c>
      <c r="G924" s="3" t="s">
        <v>1221</v>
      </c>
      <c r="H924" s="3" t="s">
        <v>1931</v>
      </c>
      <c r="I924" s="3"/>
      <c r="J924" s="3" t="s">
        <v>1260</v>
      </c>
      <c r="K924" s="3" t="s">
        <v>1296</v>
      </c>
      <c r="L924" s="3" t="s">
        <v>1297</v>
      </c>
      <c r="M924" s="3" t="s">
        <v>1298</v>
      </c>
      <c r="N924" s="3" t="s">
        <v>1940</v>
      </c>
    </row>
    <row r="925" spans="1:14" x14ac:dyDescent="0.45">
      <c r="A925" s="3" t="s">
        <v>1172</v>
      </c>
      <c r="B925" s="3" t="s">
        <v>553</v>
      </c>
      <c r="C925" s="3" t="s">
        <v>1779</v>
      </c>
      <c r="D925" s="3"/>
      <c r="E925" s="3" t="s">
        <v>1324</v>
      </c>
      <c r="F925" s="79">
        <v>748</v>
      </c>
      <c r="G925" s="3" t="s">
        <v>1221</v>
      </c>
      <c r="H925" s="3" t="s">
        <v>1931</v>
      </c>
      <c r="I925" s="3"/>
      <c r="J925" s="3" t="s">
        <v>1260</v>
      </c>
      <c r="K925" s="3" t="s">
        <v>1303</v>
      </c>
      <c r="L925" s="3" t="s">
        <v>1304</v>
      </c>
      <c r="M925" s="3" t="s">
        <v>1305</v>
      </c>
      <c r="N925" s="3" t="s">
        <v>1941</v>
      </c>
    </row>
    <row r="926" spans="1:14" x14ac:dyDescent="0.45">
      <c r="A926" s="3" t="s">
        <v>1172</v>
      </c>
      <c r="B926" s="3" t="s">
        <v>553</v>
      </c>
      <c r="C926" s="3" t="s">
        <v>1781</v>
      </c>
      <c r="D926" s="3"/>
      <c r="E926" s="3" t="s">
        <v>1252</v>
      </c>
      <c r="F926" s="79">
        <v>811</v>
      </c>
      <c r="G926" s="3" t="s">
        <v>1221</v>
      </c>
      <c r="H926" s="3" t="s">
        <v>1931</v>
      </c>
      <c r="I926" s="3"/>
      <c r="J926" s="3" t="s">
        <v>1224</v>
      </c>
      <c r="K926" s="3" t="s">
        <v>1246</v>
      </c>
      <c r="L926" s="3" t="s">
        <v>1247</v>
      </c>
      <c r="M926" s="3" t="s">
        <v>1248</v>
      </c>
      <c r="N926" s="3" t="s">
        <v>1942</v>
      </c>
    </row>
    <row r="927" spans="1:14" x14ac:dyDescent="0.45">
      <c r="A927" s="3" t="s">
        <v>1172</v>
      </c>
      <c r="B927" s="3" t="s">
        <v>553</v>
      </c>
      <c r="C927" s="3" t="s">
        <v>1783</v>
      </c>
      <c r="D927" s="3"/>
      <c r="E927" s="3" t="s">
        <v>1332</v>
      </c>
      <c r="F927" s="79">
        <v>844</v>
      </c>
      <c r="G927" s="3" t="s">
        <v>1221</v>
      </c>
      <c r="H927" s="3" t="s">
        <v>1931</v>
      </c>
      <c r="I927" s="3"/>
      <c r="J927" s="3" t="s">
        <v>1260</v>
      </c>
      <c r="K927" s="3" t="s">
        <v>1311</v>
      </c>
      <c r="L927" s="3" t="s">
        <v>1312</v>
      </c>
      <c r="M927" s="3" t="s">
        <v>1313</v>
      </c>
      <c r="N927" s="3" t="s">
        <v>1943</v>
      </c>
    </row>
    <row r="928" spans="1:14" x14ac:dyDescent="0.45">
      <c r="A928" s="3" t="s">
        <v>1172</v>
      </c>
      <c r="B928" s="3" t="s">
        <v>553</v>
      </c>
      <c r="C928" s="3" t="s">
        <v>1785</v>
      </c>
      <c r="D928" s="3"/>
      <c r="E928" s="3" t="s">
        <v>1339</v>
      </c>
      <c r="F928" s="79">
        <v>894</v>
      </c>
      <c r="G928" s="3" t="s">
        <v>1221</v>
      </c>
      <c r="H928" s="3" t="s">
        <v>1931</v>
      </c>
      <c r="I928" s="3"/>
      <c r="J928" s="3" t="s">
        <v>1260</v>
      </c>
      <c r="K928" s="3" t="s">
        <v>1318</v>
      </c>
      <c r="L928" s="3" t="s">
        <v>1319</v>
      </c>
      <c r="M928" s="3" t="s">
        <v>1320</v>
      </c>
      <c r="N928" s="3" t="s">
        <v>1944</v>
      </c>
    </row>
    <row r="929" spans="1:14" x14ac:dyDescent="0.45">
      <c r="A929" s="3" t="s">
        <v>1172</v>
      </c>
      <c r="B929" s="3" t="s">
        <v>553</v>
      </c>
      <c r="C929" s="3" t="s">
        <v>1787</v>
      </c>
      <c r="D929" s="3"/>
      <c r="E929" s="3" t="s">
        <v>1346</v>
      </c>
      <c r="F929" s="79">
        <v>911</v>
      </c>
      <c r="G929" s="3" t="s">
        <v>1221</v>
      </c>
      <c r="H929" s="3" t="s">
        <v>1931</v>
      </c>
      <c r="I929" s="3"/>
      <c r="J929" s="3" t="s">
        <v>1260</v>
      </c>
      <c r="K929" s="3" t="s">
        <v>1325</v>
      </c>
      <c r="L929" s="3" t="s">
        <v>1326</v>
      </c>
      <c r="M929" s="3" t="s">
        <v>1327</v>
      </c>
      <c r="N929" s="3" t="s">
        <v>1945</v>
      </c>
    </row>
    <row r="930" spans="1:14" x14ac:dyDescent="0.45">
      <c r="A930" s="3" t="s">
        <v>1172</v>
      </c>
      <c r="B930" s="3" t="s">
        <v>553</v>
      </c>
      <c r="C930" s="3" t="s">
        <v>1789</v>
      </c>
      <c r="D930" s="3"/>
      <c r="E930" s="3" t="s">
        <v>1256</v>
      </c>
      <c r="F930" s="79">
        <v>969</v>
      </c>
      <c r="G930" s="3" t="s">
        <v>1221</v>
      </c>
      <c r="H930" s="3" t="s">
        <v>1931</v>
      </c>
      <c r="I930" s="3"/>
      <c r="J930" s="3" t="s">
        <v>1260</v>
      </c>
      <c r="K930" s="3" t="s">
        <v>1340</v>
      </c>
      <c r="L930" s="3" t="s">
        <v>1341</v>
      </c>
      <c r="M930" s="3" t="s">
        <v>1342</v>
      </c>
      <c r="N930" s="3" t="s">
        <v>1946</v>
      </c>
    </row>
    <row r="931" spans="1:14" x14ac:dyDescent="0.45">
      <c r="A931" s="3" t="s">
        <v>1172</v>
      </c>
      <c r="B931" s="3" t="s">
        <v>553</v>
      </c>
      <c r="C931" s="3" t="s">
        <v>1791</v>
      </c>
      <c r="D931" s="3"/>
      <c r="E931" s="3" t="s">
        <v>1352</v>
      </c>
      <c r="F931" s="79">
        <v>1064</v>
      </c>
      <c r="G931" s="3" t="s">
        <v>1221</v>
      </c>
      <c r="H931" s="3" t="s">
        <v>1931</v>
      </c>
      <c r="I931" s="3"/>
      <c r="J931" s="3" t="s">
        <v>1260</v>
      </c>
      <c r="K931" s="3" t="s">
        <v>1333</v>
      </c>
      <c r="L931" s="3" t="s">
        <v>1334</v>
      </c>
      <c r="M931" s="3" t="s">
        <v>1335</v>
      </c>
      <c r="N931" s="3" t="s">
        <v>1947</v>
      </c>
    </row>
    <row r="932" spans="1:14" x14ac:dyDescent="0.45">
      <c r="A932" s="3" t="s">
        <v>1172</v>
      </c>
      <c r="B932" s="3" t="s">
        <v>553</v>
      </c>
      <c r="C932" s="3" t="s">
        <v>1793</v>
      </c>
      <c r="D932" s="3"/>
      <c r="E932" s="3" t="s">
        <v>1356</v>
      </c>
      <c r="F932" s="79">
        <v>1104</v>
      </c>
      <c r="G932" s="3" t="s">
        <v>1221</v>
      </c>
      <c r="H932" s="3" t="s">
        <v>1931</v>
      </c>
      <c r="I932" s="3"/>
      <c r="J932" s="3" t="s">
        <v>1260</v>
      </c>
      <c r="K932" s="3" t="s">
        <v>1340</v>
      </c>
      <c r="L932" s="3" t="s">
        <v>1341</v>
      </c>
      <c r="M932" s="3" t="s">
        <v>1342</v>
      </c>
      <c r="N932" s="3" t="s">
        <v>1948</v>
      </c>
    </row>
    <row r="933" spans="1:14" x14ac:dyDescent="0.45">
      <c r="A933" s="3" t="s">
        <v>1173</v>
      </c>
      <c r="B933" s="3" t="s">
        <v>557</v>
      </c>
      <c r="C933" s="3" t="s">
        <v>1755</v>
      </c>
      <c r="D933" s="3"/>
      <c r="E933" s="3" t="s">
        <v>1220</v>
      </c>
      <c r="F933" s="79">
        <v>398</v>
      </c>
      <c r="G933" s="3" t="s">
        <v>1221</v>
      </c>
      <c r="H933" s="3" t="s">
        <v>1949</v>
      </c>
      <c r="I933" s="3"/>
      <c r="J933" s="3" t="s">
        <v>1224</v>
      </c>
      <c r="K933" s="3" t="s">
        <v>1817</v>
      </c>
      <c r="L933" s="3" t="s">
        <v>1818</v>
      </c>
      <c r="M933" s="3" t="s">
        <v>1819</v>
      </c>
      <c r="N933" s="3" t="s">
        <v>1950</v>
      </c>
    </row>
    <row r="934" spans="1:14" x14ac:dyDescent="0.45">
      <c r="A934" s="3" t="s">
        <v>1173</v>
      </c>
      <c r="B934" s="3" t="s">
        <v>557</v>
      </c>
      <c r="C934" s="3" t="s">
        <v>1757</v>
      </c>
      <c r="D934" s="3"/>
      <c r="E934" s="3" t="s">
        <v>1231</v>
      </c>
      <c r="F934" s="79">
        <v>644</v>
      </c>
      <c r="G934" s="3" t="s">
        <v>1221</v>
      </c>
      <c r="H934" s="3" t="s">
        <v>1949</v>
      </c>
      <c r="I934" s="3"/>
      <c r="J934" s="3" t="s">
        <v>1224</v>
      </c>
      <c r="K934" s="3" t="s">
        <v>1225</v>
      </c>
      <c r="L934" s="3" t="s">
        <v>1226</v>
      </c>
      <c r="M934" s="3" t="s">
        <v>1227</v>
      </c>
      <c r="N934" s="3" t="s">
        <v>1359</v>
      </c>
    </row>
    <row r="935" spans="1:14" x14ac:dyDescent="0.45">
      <c r="A935" s="3" t="s">
        <v>1173</v>
      </c>
      <c r="B935" s="3" t="s">
        <v>557</v>
      </c>
      <c r="C935" s="3" t="s">
        <v>1759</v>
      </c>
      <c r="D935" s="3"/>
      <c r="E935" s="3" t="s">
        <v>1266</v>
      </c>
      <c r="F935" s="79">
        <v>591</v>
      </c>
      <c r="G935" s="3" t="s">
        <v>1221</v>
      </c>
      <c r="H935" s="3" t="s">
        <v>1949</v>
      </c>
      <c r="I935" s="3"/>
      <c r="J935" s="3" t="s">
        <v>1260</v>
      </c>
      <c r="K935" s="3" t="s">
        <v>1821</v>
      </c>
      <c r="L935" s="3" t="s">
        <v>1822</v>
      </c>
      <c r="M935" s="3" t="s">
        <v>1823</v>
      </c>
      <c r="N935" s="3" t="s">
        <v>1951</v>
      </c>
    </row>
    <row r="936" spans="1:14" x14ac:dyDescent="0.45">
      <c r="A936" s="3" t="s">
        <v>1173</v>
      </c>
      <c r="B936" s="3" t="s">
        <v>557</v>
      </c>
      <c r="C936" s="3" t="s">
        <v>1761</v>
      </c>
      <c r="D936" s="3"/>
      <c r="E936" s="3" t="s">
        <v>1273</v>
      </c>
      <c r="F936" s="79">
        <v>600</v>
      </c>
      <c r="G936" s="3" t="s">
        <v>1221</v>
      </c>
      <c r="H936" s="3" t="s">
        <v>1949</v>
      </c>
      <c r="I936" s="3"/>
      <c r="J936" s="3" t="s">
        <v>1260</v>
      </c>
      <c r="K936" s="3" t="s">
        <v>1825</v>
      </c>
      <c r="L936" s="3" t="s">
        <v>1826</v>
      </c>
      <c r="M936" s="3" t="s">
        <v>1827</v>
      </c>
      <c r="N936" s="3" t="s">
        <v>1952</v>
      </c>
    </row>
    <row r="937" spans="1:14" x14ac:dyDescent="0.45">
      <c r="A937" s="3" t="s">
        <v>1173</v>
      </c>
      <c r="B937" s="3" t="s">
        <v>557</v>
      </c>
      <c r="C937" s="3" t="s">
        <v>1763</v>
      </c>
      <c r="D937" s="3"/>
      <c r="E937" s="3" t="s">
        <v>1280</v>
      </c>
      <c r="F937" s="79">
        <v>622</v>
      </c>
      <c r="G937" s="3" t="s">
        <v>1221</v>
      </c>
      <c r="H937" s="3" t="s">
        <v>1949</v>
      </c>
      <c r="I937" s="3"/>
      <c r="J937" s="3" t="s">
        <v>1260</v>
      </c>
      <c r="K937" s="3" t="s">
        <v>1261</v>
      </c>
      <c r="L937" s="3" t="s">
        <v>1262</v>
      </c>
      <c r="M937" s="3" t="s">
        <v>1263</v>
      </c>
      <c r="N937" s="3" t="s">
        <v>1770</v>
      </c>
    </row>
    <row r="938" spans="1:14" x14ac:dyDescent="0.45">
      <c r="A938" s="3" t="s">
        <v>1173</v>
      </c>
      <c r="B938" s="3" t="s">
        <v>557</v>
      </c>
      <c r="C938" s="3" t="s">
        <v>1765</v>
      </c>
      <c r="D938" s="3"/>
      <c r="E938" s="3" t="s">
        <v>1238</v>
      </c>
      <c r="F938" s="79">
        <v>663</v>
      </c>
      <c r="G938" s="3" t="s">
        <v>1221</v>
      </c>
      <c r="H938" s="3" t="s">
        <v>1949</v>
      </c>
      <c r="I938" s="3"/>
      <c r="J938" s="3" t="s">
        <v>1224</v>
      </c>
      <c r="K938" s="3" t="s">
        <v>1232</v>
      </c>
      <c r="L938" s="3" t="s">
        <v>1233</v>
      </c>
      <c r="M938" s="3" t="s">
        <v>1234</v>
      </c>
      <c r="N938" s="3" t="s">
        <v>1938</v>
      </c>
    </row>
    <row r="939" spans="1:14" x14ac:dyDescent="0.45">
      <c r="A939" s="3" t="s">
        <v>1173</v>
      </c>
      <c r="B939" s="3" t="s">
        <v>557</v>
      </c>
      <c r="C939" s="3" t="s">
        <v>1767</v>
      </c>
      <c r="D939" s="3"/>
      <c r="E939" s="3" t="s">
        <v>1288</v>
      </c>
      <c r="F939" s="79">
        <v>697</v>
      </c>
      <c r="G939" s="3" t="s">
        <v>1221</v>
      </c>
      <c r="H939" s="3" t="s">
        <v>1949</v>
      </c>
      <c r="I939" s="3"/>
      <c r="J939" s="3" t="s">
        <v>1260</v>
      </c>
      <c r="K939" s="3" t="s">
        <v>1267</v>
      </c>
      <c r="L939" s="3" t="s">
        <v>1268</v>
      </c>
      <c r="M939" s="3" t="s">
        <v>1269</v>
      </c>
      <c r="N939" s="3" t="s">
        <v>1799</v>
      </c>
    </row>
    <row r="940" spans="1:14" x14ac:dyDescent="0.45">
      <c r="A940" s="3" t="s">
        <v>1173</v>
      </c>
      <c r="B940" s="3" t="s">
        <v>557</v>
      </c>
      <c r="C940" s="3" t="s">
        <v>1769</v>
      </c>
      <c r="D940" s="3"/>
      <c r="E940" s="3" t="s">
        <v>1295</v>
      </c>
      <c r="F940" s="79">
        <v>716</v>
      </c>
      <c r="G940" s="3" t="s">
        <v>1221</v>
      </c>
      <c r="H940" s="3" t="s">
        <v>1949</v>
      </c>
      <c r="I940" s="3"/>
      <c r="J940" s="3" t="s">
        <v>1260</v>
      </c>
      <c r="K940" s="3" t="s">
        <v>1274</v>
      </c>
      <c r="L940" s="3" t="s">
        <v>1275</v>
      </c>
      <c r="M940" s="3" t="s">
        <v>1276</v>
      </c>
      <c r="N940" s="3" t="s">
        <v>1953</v>
      </c>
    </row>
    <row r="941" spans="1:14" x14ac:dyDescent="0.45">
      <c r="A941" s="3" t="s">
        <v>1173</v>
      </c>
      <c r="B941" s="3" t="s">
        <v>557</v>
      </c>
      <c r="C941" s="3" t="s">
        <v>1771</v>
      </c>
      <c r="D941" s="3"/>
      <c r="E941" s="3" t="s">
        <v>1302</v>
      </c>
      <c r="F941" s="79">
        <v>685</v>
      </c>
      <c r="G941" s="3" t="s">
        <v>1221</v>
      </c>
      <c r="H941" s="3" t="s">
        <v>1949</v>
      </c>
      <c r="I941" s="3"/>
      <c r="J941" s="3" t="s">
        <v>1260</v>
      </c>
      <c r="K941" s="3" t="s">
        <v>1281</v>
      </c>
      <c r="L941" s="3" t="s">
        <v>1282</v>
      </c>
      <c r="M941" s="3" t="s">
        <v>1283</v>
      </c>
      <c r="N941" s="3" t="s">
        <v>1954</v>
      </c>
    </row>
    <row r="942" spans="1:14" x14ac:dyDescent="0.45">
      <c r="A942" s="3" t="s">
        <v>1173</v>
      </c>
      <c r="B942" s="3" t="s">
        <v>557</v>
      </c>
      <c r="C942" s="3" t="s">
        <v>1773</v>
      </c>
      <c r="D942" s="3"/>
      <c r="E942" s="3" t="s">
        <v>1245</v>
      </c>
      <c r="F942" s="79">
        <v>764</v>
      </c>
      <c r="G942" s="3" t="s">
        <v>1221</v>
      </c>
      <c r="H942" s="3" t="s">
        <v>1949</v>
      </c>
      <c r="I942" s="3"/>
      <c r="J942" s="3" t="s">
        <v>1224</v>
      </c>
      <c r="K942" s="3" t="s">
        <v>1239</v>
      </c>
      <c r="L942" s="3" t="s">
        <v>1240</v>
      </c>
      <c r="M942" s="3" t="s">
        <v>1241</v>
      </c>
      <c r="N942" s="3" t="s">
        <v>1955</v>
      </c>
    </row>
    <row r="943" spans="1:14" x14ac:dyDescent="0.45">
      <c r="A943" s="3" t="s">
        <v>1173</v>
      </c>
      <c r="B943" s="3" t="s">
        <v>557</v>
      </c>
      <c r="C943" s="3" t="s">
        <v>1775</v>
      </c>
      <c r="D943" s="3"/>
      <c r="E943" s="3" t="s">
        <v>1310</v>
      </c>
      <c r="F943" s="79">
        <v>849</v>
      </c>
      <c r="G943" s="3" t="s">
        <v>1221</v>
      </c>
      <c r="H943" s="3" t="s">
        <v>1949</v>
      </c>
      <c r="I943" s="3"/>
      <c r="J943" s="3" t="s">
        <v>1260</v>
      </c>
      <c r="K943" s="3" t="s">
        <v>1289</v>
      </c>
      <c r="L943" s="3" t="s">
        <v>1290</v>
      </c>
      <c r="M943" s="3" t="s">
        <v>1291</v>
      </c>
      <c r="N943" s="3" t="s">
        <v>1956</v>
      </c>
    </row>
    <row r="944" spans="1:14" x14ac:dyDescent="0.45">
      <c r="A944" s="3" t="s">
        <v>1173</v>
      </c>
      <c r="B944" s="3" t="s">
        <v>557</v>
      </c>
      <c r="C944" s="3" t="s">
        <v>1777</v>
      </c>
      <c r="D944" s="3"/>
      <c r="E944" s="3" t="s">
        <v>1317</v>
      </c>
      <c r="F944" s="79">
        <v>872</v>
      </c>
      <c r="G944" s="3" t="s">
        <v>1221</v>
      </c>
      <c r="H944" s="3" t="s">
        <v>1949</v>
      </c>
      <c r="I944" s="3"/>
      <c r="J944" s="3" t="s">
        <v>1260</v>
      </c>
      <c r="K944" s="3" t="s">
        <v>1296</v>
      </c>
      <c r="L944" s="3" t="s">
        <v>1297</v>
      </c>
      <c r="M944" s="3" t="s">
        <v>1298</v>
      </c>
      <c r="N944" s="3" t="s">
        <v>1957</v>
      </c>
    </row>
    <row r="945" spans="1:14" x14ac:dyDescent="0.45">
      <c r="A945" s="3" t="s">
        <v>1173</v>
      </c>
      <c r="B945" s="3" t="s">
        <v>557</v>
      </c>
      <c r="C945" s="3" t="s">
        <v>1779</v>
      </c>
      <c r="D945" s="3"/>
      <c r="E945" s="3" t="s">
        <v>1324</v>
      </c>
      <c r="F945" s="79">
        <v>807</v>
      </c>
      <c r="G945" s="3" t="s">
        <v>1221</v>
      </c>
      <c r="H945" s="3" t="s">
        <v>1949</v>
      </c>
      <c r="I945" s="3"/>
      <c r="J945" s="3" t="s">
        <v>1260</v>
      </c>
      <c r="K945" s="3" t="s">
        <v>1303</v>
      </c>
      <c r="L945" s="3" t="s">
        <v>1304</v>
      </c>
      <c r="M945" s="3" t="s">
        <v>1305</v>
      </c>
      <c r="N945" s="3" t="s">
        <v>1958</v>
      </c>
    </row>
    <row r="946" spans="1:14" x14ac:dyDescent="0.45">
      <c r="A946" s="3" t="s">
        <v>1173</v>
      </c>
      <c r="B946" s="3" t="s">
        <v>557</v>
      </c>
      <c r="C946" s="3" t="s">
        <v>1781</v>
      </c>
      <c r="D946" s="3"/>
      <c r="E946" s="3" t="s">
        <v>1252</v>
      </c>
      <c r="F946" s="79">
        <v>863</v>
      </c>
      <c r="G946" s="3" t="s">
        <v>1221</v>
      </c>
      <c r="H946" s="3" t="s">
        <v>1949</v>
      </c>
      <c r="I946" s="3"/>
      <c r="J946" s="3" t="s">
        <v>1224</v>
      </c>
      <c r="K946" s="3" t="s">
        <v>1246</v>
      </c>
      <c r="L946" s="3" t="s">
        <v>1247</v>
      </c>
      <c r="M946" s="3" t="s">
        <v>1248</v>
      </c>
      <c r="N946" s="3" t="s">
        <v>1959</v>
      </c>
    </row>
    <row r="947" spans="1:14" x14ac:dyDescent="0.45">
      <c r="A947" s="3" t="s">
        <v>1173</v>
      </c>
      <c r="B947" s="3" t="s">
        <v>557</v>
      </c>
      <c r="C947" s="3" t="s">
        <v>1783</v>
      </c>
      <c r="D947" s="3"/>
      <c r="E947" s="3" t="s">
        <v>1332</v>
      </c>
      <c r="F947" s="79">
        <v>891</v>
      </c>
      <c r="G947" s="3" t="s">
        <v>1221</v>
      </c>
      <c r="H947" s="3" t="s">
        <v>1949</v>
      </c>
      <c r="I947" s="3"/>
      <c r="J947" s="3" t="s">
        <v>1260</v>
      </c>
      <c r="K947" s="3" t="s">
        <v>1311</v>
      </c>
      <c r="L947" s="3" t="s">
        <v>1312</v>
      </c>
      <c r="M947" s="3" t="s">
        <v>1313</v>
      </c>
      <c r="N947" s="3" t="s">
        <v>1960</v>
      </c>
    </row>
    <row r="948" spans="1:14" x14ac:dyDescent="0.45">
      <c r="A948" s="3" t="s">
        <v>1173</v>
      </c>
      <c r="B948" s="3" t="s">
        <v>557</v>
      </c>
      <c r="C948" s="3" t="s">
        <v>1785</v>
      </c>
      <c r="D948" s="3"/>
      <c r="E948" s="3" t="s">
        <v>1339</v>
      </c>
      <c r="F948" s="79">
        <v>949</v>
      </c>
      <c r="G948" s="3" t="s">
        <v>1221</v>
      </c>
      <c r="H948" s="3" t="s">
        <v>1949</v>
      </c>
      <c r="I948" s="3"/>
      <c r="J948" s="3" t="s">
        <v>1260</v>
      </c>
      <c r="K948" s="3" t="s">
        <v>1318</v>
      </c>
      <c r="L948" s="3" t="s">
        <v>1319</v>
      </c>
      <c r="M948" s="3" t="s">
        <v>1320</v>
      </c>
      <c r="N948" s="3" t="s">
        <v>1961</v>
      </c>
    </row>
    <row r="949" spans="1:14" x14ac:dyDescent="0.45">
      <c r="A949" s="3" t="s">
        <v>1173</v>
      </c>
      <c r="B949" s="3" t="s">
        <v>557</v>
      </c>
      <c r="C949" s="3" t="s">
        <v>1787</v>
      </c>
      <c r="D949" s="3"/>
      <c r="E949" s="3" t="s">
        <v>1346</v>
      </c>
      <c r="F949" s="79">
        <v>957</v>
      </c>
      <c r="G949" s="3" t="s">
        <v>1221</v>
      </c>
      <c r="H949" s="3" t="s">
        <v>1949</v>
      </c>
      <c r="I949" s="3"/>
      <c r="J949" s="3" t="s">
        <v>1260</v>
      </c>
      <c r="K949" s="3" t="s">
        <v>1325</v>
      </c>
      <c r="L949" s="3" t="s">
        <v>1326</v>
      </c>
      <c r="M949" s="3" t="s">
        <v>1327</v>
      </c>
      <c r="N949" s="3" t="s">
        <v>1962</v>
      </c>
    </row>
    <row r="950" spans="1:14" x14ac:dyDescent="0.45">
      <c r="A950" s="3" t="s">
        <v>1173</v>
      </c>
      <c r="B950" s="3" t="s">
        <v>557</v>
      </c>
      <c r="C950" s="3" t="s">
        <v>1789</v>
      </c>
      <c r="D950" s="3"/>
      <c r="E950" s="3" t="s">
        <v>1256</v>
      </c>
      <c r="F950" s="79">
        <v>1021</v>
      </c>
      <c r="G950" s="3" t="s">
        <v>1221</v>
      </c>
      <c r="H950" s="3" t="s">
        <v>1949</v>
      </c>
      <c r="I950" s="3"/>
      <c r="J950" s="3" t="s">
        <v>1260</v>
      </c>
      <c r="K950" s="3" t="s">
        <v>1340</v>
      </c>
      <c r="L950" s="3" t="s">
        <v>1341</v>
      </c>
      <c r="M950" s="3" t="s">
        <v>1342</v>
      </c>
      <c r="N950" s="3" t="s">
        <v>1963</v>
      </c>
    </row>
    <row r="951" spans="1:14" x14ac:dyDescent="0.45">
      <c r="A951" s="3" t="s">
        <v>1173</v>
      </c>
      <c r="B951" s="3" t="s">
        <v>557</v>
      </c>
      <c r="C951" s="3" t="s">
        <v>1791</v>
      </c>
      <c r="D951" s="3"/>
      <c r="E951" s="3" t="s">
        <v>1352</v>
      </c>
      <c r="F951" s="79">
        <v>1104</v>
      </c>
      <c r="G951" s="3" t="s">
        <v>1221</v>
      </c>
      <c r="H951" s="3" t="s">
        <v>1949</v>
      </c>
      <c r="I951" s="3"/>
      <c r="J951" s="3" t="s">
        <v>1260</v>
      </c>
      <c r="K951" s="3" t="s">
        <v>1333</v>
      </c>
      <c r="L951" s="3" t="s">
        <v>1334</v>
      </c>
      <c r="M951" s="3" t="s">
        <v>1335</v>
      </c>
      <c r="N951" s="3" t="s">
        <v>1948</v>
      </c>
    </row>
    <row r="952" spans="1:14" x14ac:dyDescent="0.45">
      <c r="A952" s="3" t="s">
        <v>1173</v>
      </c>
      <c r="B952" s="3" t="s">
        <v>557</v>
      </c>
      <c r="C952" s="3" t="s">
        <v>1793</v>
      </c>
      <c r="D952" s="3"/>
      <c r="E952" s="3" t="s">
        <v>1356</v>
      </c>
      <c r="F952" s="79">
        <v>1136</v>
      </c>
      <c r="G952" s="3" t="s">
        <v>1221</v>
      </c>
      <c r="H952" s="3" t="s">
        <v>1949</v>
      </c>
      <c r="I952" s="3"/>
      <c r="J952" s="3" t="s">
        <v>1260</v>
      </c>
      <c r="K952" s="3" t="s">
        <v>1340</v>
      </c>
      <c r="L952" s="3" t="s">
        <v>1341</v>
      </c>
      <c r="M952" s="3" t="s">
        <v>1342</v>
      </c>
      <c r="N952" s="3" t="s">
        <v>1964</v>
      </c>
    </row>
    <row r="953" spans="1:14" x14ac:dyDescent="0.45">
      <c r="A953" s="3" t="s">
        <v>1175</v>
      </c>
      <c r="B953" s="3" t="s">
        <v>559</v>
      </c>
      <c r="C953" s="3" t="s">
        <v>1755</v>
      </c>
      <c r="D953" s="3"/>
      <c r="E953" s="3" t="s">
        <v>1220</v>
      </c>
      <c r="F953" s="79">
        <v>-471</v>
      </c>
      <c r="G953" s="3" t="s">
        <v>1221</v>
      </c>
      <c r="H953" s="3" t="s">
        <v>1965</v>
      </c>
      <c r="I953" s="3"/>
      <c r="J953" s="3" t="s">
        <v>1224</v>
      </c>
      <c r="K953" s="3" t="s">
        <v>1232</v>
      </c>
      <c r="L953" s="3" t="s">
        <v>1233</v>
      </c>
      <c r="M953" s="3" t="s">
        <v>1234</v>
      </c>
      <c r="N953" s="3" t="s">
        <v>1966</v>
      </c>
    </row>
    <row r="954" spans="1:14" x14ac:dyDescent="0.45">
      <c r="A954" s="3" t="s">
        <v>1175</v>
      </c>
      <c r="B954" s="3" t="s">
        <v>559</v>
      </c>
      <c r="C954" s="3" t="s">
        <v>1757</v>
      </c>
      <c r="D954" s="3"/>
      <c r="E954" s="3" t="s">
        <v>1231</v>
      </c>
      <c r="F954" s="79">
        <v>1091</v>
      </c>
      <c r="G954" s="3" t="s">
        <v>1221</v>
      </c>
      <c r="H954" s="3" t="s">
        <v>1965</v>
      </c>
      <c r="I954" s="3"/>
      <c r="J954" s="3" t="s">
        <v>1224</v>
      </c>
      <c r="K954" s="3" t="s">
        <v>1239</v>
      </c>
      <c r="L954" s="3" t="s">
        <v>1240</v>
      </c>
      <c r="M954" s="3" t="s">
        <v>1241</v>
      </c>
      <c r="N954" s="3" t="s">
        <v>1967</v>
      </c>
    </row>
    <row r="955" spans="1:14" x14ac:dyDescent="0.45">
      <c r="A955" s="3" t="s">
        <v>1175</v>
      </c>
      <c r="B955" s="3" t="s">
        <v>559</v>
      </c>
      <c r="C955" s="3" t="s">
        <v>1759</v>
      </c>
      <c r="D955" s="3"/>
      <c r="E955" s="3" t="s">
        <v>1266</v>
      </c>
      <c r="F955" s="79">
        <v>1143</v>
      </c>
      <c r="G955" s="3" t="s">
        <v>1221</v>
      </c>
      <c r="H955" s="3" t="s">
        <v>1965</v>
      </c>
      <c r="I955" s="3"/>
      <c r="J955" s="3" t="s">
        <v>1260</v>
      </c>
      <c r="K955" s="3" t="s">
        <v>1274</v>
      </c>
      <c r="L955" s="3" t="s">
        <v>1275</v>
      </c>
      <c r="M955" s="3" t="s">
        <v>1276</v>
      </c>
      <c r="N955" s="3" t="s">
        <v>1968</v>
      </c>
    </row>
    <row r="956" spans="1:14" x14ac:dyDescent="0.45">
      <c r="A956" s="3" t="s">
        <v>1175</v>
      </c>
      <c r="B956" s="3" t="s">
        <v>559</v>
      </c>
      <c r="C956" s="3" t="s">
        <v>1761</v>
      </c>
      <c r="D956" s="3"/>
      <c r="E956" s="3" t="s">
        <v>1273</v>
      </c>
      <c r="F956" s="79">
        <v>1150</v>
      </c>
      <c r="G956" s="3" t="s">
        <v>1221</v>
      </c>
      <c r="H956" s="3" t="s">
        <v>1965</v>
      </c>
      <c r="I956" s="3"/>
      <c r="J956" s="3" t="s">
        <v>1260</v>
      </c>
      <c r="K956" s="3" t="s">
        <v>1281</v>
      </c>
      <c r="L956" s="3" t="s">
        <v>1282</v>
      </c>
      <c r="M956" s="3" t="s">
        <v>1283</v>
      </c>
      <c r="N956" s="3" t="s">
        <v>1969</v>
      </c>
    </row>
    <row r="957" spans="1:14" x14ac:dyDescent="0.45">
      <c r="A957" s="3" t="s">
        <v>1175</v>
      </c>
      <c r="B957" s="3" t="s">
        <v>559</v>
      </c>
      <c r="C957" s="3" t="s">
        <v>1763</v>
      </c>
      <c r="D957" s="3"/>
      <c r="E957" s="3" t="s">
        <v>1280</v>
      </c>
      <c r="F957" s="79">
        <v>1119</v>
      </c>
      <c r="G957" s="3" t="s">
        <v>1221</v>
      </c>
      <c r="H957" s="3" t="s">
        <v>1965</v>
      </c>
      <c r="I957" s="3"/>
      <c r="J957" s="3" t="s">
        <v>1260</v>
      </c>
      <c r="K957" s="3" t="s">
        <v>1281</v>
      </c>
      <c r="L957" s="3" t="s">
        <v>1282</v>
      </c>
      <c r="M957" s="3" t="s">
        <v>1283</v>
      </c>
      <c r="N957" s="3" t="s">
        <v>1970</v>
      </c>
    </row>
    <row r="958" spans="1:14" x14ac:dyDescent="0.45">
      <c r="A958" s="3" t="s">
        <v>1175</v>
      </c>
      <c r="B958" s="3" t="s">
        <v>559</v>
      </c>
      <c r="C958" s="3" t="s">
        <v>1765</v>
      </c>
      <c r="D958" s="3"/>
      <c r="E958" s="3" t="s">
        <v>1238</v>
      </c>
      <c r="F958" s="79">
        <v>1098</v>
      </c>
      <c r="G958" s="3" t="s">
        <v>1221</v>
      </c>
      <c r="H958" s="3" t="s">
        <v>1965</v>
      </c>
      <c r="I958" s="3"/>
      <c r="J958" s="3" t="s">
        <v>1224</v>
      </c>
      <c r="K958" s="3" t="s">
        <v>1246</v>
      </c>
      <c r="L958" s="3" t="s">
        <v>1247</v>
      </c>
      <c r="M958" s="3" t="s">
        <v>1248</v>
      </c>
      <c r="N958" s="3" t="s">
        <v>1813</v>
      </c>
    </row>
    <row r="959" spans="1:14" x14ac:dyDescent="0.45">
      <c r="A959" s="3" t="s">
        <v>1175</v>
      </c>
      <c r="B959" s="3" t="s">
        <v>559</v>
      </c>
      <c r="C959" s="3" t="s">
        <v>1767</v>
      </c>
      <c r="D959" s="3"/>
      <c r="E959" s="3" t="s">
        <v>1288</v>
      </c>
      <c r="F959" s="79">
        <v>1098</v>
      </c>
      <c r="G959" s="3" t="s">
        <v>1221</v>
      </c>
      <c r="H959" s="3" t="s">
        <v>1965</v>
      </c>
      <c r="I959" s="3"/>
      <c r="J959" s="3" t="s">
        <v>1260</v>
      </c>
      <c r="K959" s="3" t="s">
        <v>1296</v>
      </c>
      <c r="L959" s="3" t="s">
        <v>1297</v>
      </c>
      <c r="M959" s="3" t="s">
        <v>1298</v>
      </c>
      <c r="N959" s="3" t="s">
        <v>1813</v>
      </c>
    </row>
    <row r="960" spans="1:14" x14ac:dyDescent="0.45">
      <c r="A960" s="3" t="s">
        <v>1175</v>
      </c>
      <c r="B960" s="3" t="s">
        <v>559</v>
      </c>
      <c r="C960" s="3" t="s">
        <v>1769</v>
      </c>
      <c r="D960" s="3"/>
      <c r="E960" s="3" t="s">
        <v>1295</v>
      </c>
      <c r="F960" s="79">
        <v>1079</v>
      </c>
      <c r="G960" s="3" t="s">
        <v>1221</v>
      </c>
      <c r="H960" s="3" t="s">
        <v>1965</v>
      </c>
      <c r="I960" s="3"/>
      <c r="J960" s="3" t="s">
        <v>1260</v>
      </c>
      <c r="K960" s="3" t="s">
        <v>1303</v>
      </c>
      <c r="L960" s="3" t="s">
        <v>1304</v>
      </c>
      <c r="M960" s="3" t="s">
        <v>1305</v>
      </c>
      <c r="N960" s="3" t="s">
        <v>1971</v>
      </c>
    </row>
    <row r="961" spans="1:14" x14ac:dyDescent="0.45">
      <c r="A961" s="3" t="s">
        <v>1175</v>
      </c>
      <c r="B961" s="3" t="s">
        <v>559</v>
      </c>
      <c r="C961" s="3" t="s">
        <v>1771</v>
      </c>
      <c r="D961" s="3"/>
      <c r="E961" s="3" t="s">
        <v>1302</v>
      </c>
      <c r="F961" s="79">
        <v>1149</v>
      </c>
      <c r="G961" s="3" t="s">
        <v>1221</v>
      </c>
      <c r="H961" s="3" t="s">
        <v>1965</v>
      </c>
      <c r="I961" s="3"/>
      <c r="J961" s="3" t="s">
        <v>1260</v>
      </c>
      <c r="K961" s="3" t="s">
        <v>1303</v>
      </c>
      <c r="L961" s="3" t="s">
        <v>1304</v>
      </c>
      <c r="M961" s="3" t="s">
        <v>1305</v>
      </c>
      <c r="N961" s="3" t="s">
        <v>1972</v>
      </c>
    </row>
    <row r="962" spans="1:14" x14ac:dyDescent="0.45">
      <c r="A962" s="3" t="s">
        <v>1175</v>
      </c>
      <c r="B962" s="3" t="s">
        <v>559</v>
      </c>
      <c r="C962" s="3" t="s">
        <v>1773</v>
      </c>
      <c r="D962" s="3"/>
      <c r="E962" s="3" t="s">
        <v>1245</v>
      </c>
      <c r="F962" s="79">
        <v>1194</v>
      </c>
      <c r="G962" s="3" t="s">
        <v>1221</v>
      </c>
      <c r="H962" s="3" t="s">
        <v>1965</v>
      </c>
      <c r="I962" s="3"/>
      <c r="J962" s="3" t="s">
        <v>1224</v>
      </c>
      <c r="K962" s="3" t="s">
        <v>1246</v>
      </c>
      <c r="L962" s="3" t="s">
        <v>1247</v>
      </c>
      <c r="M962" s="3" t="s">
        <v>1248</v>
      </c>
      <c r="N962" s="3" t="s">
        <v>1810</v>
      </c>
    </row>
    <row r="963" spans="1:14" x14ac:dyDescent="0.45">
      <c r="A963" s="3" t="s">
        <v>1175</v>
      </c>
      <c r="B963" s="3" t="s">
        <v>559</v>
      </c>
      <c r="C963" s="3" t="s">
        <v>1775</v>
      </c>
      <c r="D963" s="3"/>
      <c r="E963" s="3" t="s">
        <v>1310</v>
      </c>
      <c r="F963" s="79">
        <v>1203</v>
      </c>
      <c r="G963" s="3" t="s">
        <v>1221</v>
      </c>
      <c r="H963" s="3" t="s">
        <v>1965</v>
      </c>
      <c r="I963" s="3"/>
      <c r="J963" s="3" t="s">
        <v>1260</v>
      </c>
      <c r="K963" s="3" t="s">
        <v>1318</v>
      </c>
      <c r="L963" s="3" t="s">
        <v>1319</v>
      </c>
      <c r="M963" s="3" t="s">
        <v>1320</v>
      </c>
      <c r="N963" s="3" t="s">
        <v>1973</v>
      </c>
    </row>
    <row r="964" spans="1:14" x14ac:dyDescent="0.45">
      <c r="A964" s="3" t="s">
        <v>1175</v>
      </c>
      <c r="B964" s="3" t="s">
        <v>559</v>
      </c>
      <c r="C964" s="3" t="s">
        <v>1777</v>
      </c>
      <c r="D964" s="3"/>
      <c r="E964" s="3" t="s">
        <v>1317</v>
      </c>
      <c r="F964" s="79">
        <v>1283</v>
      </c>
      <c r="G964" s="3" t="s">
        <v>1221</v>
      </c>
      <c r="H964" s="3" t="s">
        <v>1965</v>
      </c>
      <c r="I964" s="3"/>
      <c r="J964" s="3" t="s">
        <v>1260</v>
      </c>
      <c r="K964" s="3" t="s">
        <v>1325</v>
      </c>
      <c r="L964" s="3" t="s">
        <v>1326</v>
      </c>
      <c r="M964" s="3" t="s">
        <v>1327</v>
      </c>
      <c r="N964" s="3" t="s">
        <v>1974</v>
      </c>
    </row>
    <row r="965" spans="1:14" x14ac:dyDescent="0.45">
      <c r="A965" s="3" t="s">
        <v>1175</v>
      </c>
      <c r="B965" s="3" t="s">
        <v>559</v>
      </c>
      <c r="C965" s="3" t="s">
        <v>1779</v>
      </c>
      <c r="D965" s="3"/>
      <c r="E965" s="3" t="s">
        <v>1324</v>
      </c>
      <c r="F965" s="79">
        <v>1420</v>
      </c>
      <c r="G965" s="3" t="s">
        <v>1221</v>
      </c>
      <c r="H965" s="3" t="s">
        <v>1965</v>
      </c>
      <c r="I965" s="3"/>
      <c r="J965" s="3" t="s">
        <v>1260</v>
      </c>
      <c r="K965" s="3" t="s">
        <v>1325</v>
      </c>
      <c r="L965" s="3" t="s">
        <v>1326</v>
      </c>
      <c r="M965" s="3" t="s">
        <v>1327</v>
      </c>
      <c r="N965" s="3" t="s">
        <v>1975</v>
      </c>
    </row>
    <row r="966" spans="1:14" x14ac:dyDescent="0.45">
      <c r="A966" s="3" t="s">
        <v>1175</v>
      </c>
      <c r="B966" s="3" t="s">
        <v>559</v>
      </c>
      <c r="C966" s="3" t="s">
        <v>1781</v>
      </c>
      <c r="D966" s="3"/>
      <c r="E966" s="3" t="s">
        <v>1252</v>
      </c>
      <c r="F966" s="79">
        <v>1545</v>
      </c>
      <c r="G966" s="3" t="s">
        <v>1221</v>
      </c>
      <c r="H966" s="3" t="s">
        <v>1965</v>
      </c>
      <c r="I966" s="3"/>
      <c r="J966" s="3" t="s">
        <v>1260</v>
      </c>
      <c r="K966" s="3" t="s">
        <v>1340</v>
      </c>
      <c r="L966" s="3" t="s">
        <v>1341</v>
      </c>
      <c r="M966" s="3" t="s">
        <v>1342</v>
      </c>
      <c r="N966" s="3" t="s">
        <v>1976</v>
      </c>
    </row>
    <row r="967" spans="1:14" x14ac:dyDescent="0.45">
      <c r="A967" s="3" t="s">
        <v>1175</v>
      </c>
      <c r="B967" s="3" t="s">
        <v>559</v>
      </c>
      <c r="C967" s="3" t="s">
        <v>1783</v>
      </c>
      <c r="D967" s="3"/>
      <c r="E967" s="3" t="s">
        <v>1332</v>
      </c>
      <c r="F967" s="79">
        <v>1673</v>
      </c>
      <c r="G967" s="3" t="s">
        <v>1221</v>
      </c>
      <c r="H967" s="3" t="s">
        <v>1965</v>
      </c>
      <c r="I967" s="3"/>
      <c r="J967" s="3" t="s">
        <v>1260</v>
      </c>
      <c r="K967" s="3" t="s">
        <v>1340</v>
      </c>
      <c r="L967" s="3" t="s">
        <v>1341</v>
      </c>
      <c r="M967" s="3" t="s">
        <v>1342</v>
      </c>
      <c r="N967" s="3" t="s">
        <v>1977</v>
      </c>
    </row>
    <row r="968" spans="1:14" x14ac:dyDescent="0.45">
      <c r="A968" s="3" t="s">
        <v>1175</v>
      </c>
      <c r="B968" s="3" t="s">
        <v>559</v>
      </c>
      <c r="C968" s="3" t="s">
        <v>1785</v>
      </c>
      <c r="D968" s="3"/>
      <c r="E968" s="3" t="s">
        <v>1339</v>
      </c>
      <c r="F968" s="79">
        <v>1818</v>
      </c>
      <c r="G968" s="3" t="s">
        <v>1221</v>
      </c>
      <c r="H968" s="3" t="s">
        <v>1965</v>
      </c>
      <c r="I968" s="3"/>
      <c r="J968" s="3" t="s">
        <v>1260</v>
      </c>
      <c r="K968" s="3" t="s">
        <v>1340</v>
      </c>
      <c r="L968" s="3" t="s">
        <v>1341</v>
      </c>
      <c r="M968" s="3" t="s">
        <v>1342</v>
      </c>
      <c r="N968" s="3" t="s">
        <v>1978</v>
      </c>
    </row>
    <row r="969" spans="1:14" x14ac:dyDescent="0.45">
      <c r="A969" s="3" t="s">
        <v>1175</v>
      </c>
      <c r="B969" s="3" t="s">
        <v>559</v>
      </c>
      <c r="C969" s="3" t="s">
        <v>1787</v>
      </c>
      <c r="D969" s="3"/>
      <c r="E969" s="3" t="s">
        <v>1346</v>
      </c>
      <c r="F969" s="79">
        <v>2014</v>
      </c>
      <c r="G969" s="3" t="s">
        <v>1221</v>
      </c>
      <c r="H969" s="3" t="s">
        <v>1965</v>
      </c>
      <c r="I969" s="3"/>
      <c r="J969" s="3" t="s">
        <v>1260</v>
      </c>
      <c r="K969" s="3" t="s">
        <v>1325</v>
      </c>
      <c r="L969" s="3" t="s">
        <v>1326</v>
      </c>
      <c r="M969" s="3" t="s">
        <v>1327</v>
      </c>
      <c r="N969" s="3" t="s">
        <v>1979</v>
      </c>
    </row>
    <row r="970" spans="1:14" x14ac:dyDescent="0.45">
      <c r="A970" s="3" t="s">
        <v>1175</v>
      </c>
      <c r="B970" s="3" t="s">
        <v>559</v>
      </c>
      <c r="C970" s="3" t="s">
        <v>1789</v>
      </c>
      <c r="D970" s="3"/>
      <c r="E970" s="3" t="s">
        <v>1256</v>
      </c>
      <c r="F970" s="79">
        <v>2124</v>
      </c>
      <c r="G970" s="3" t="s">
        <v>1221</v>
      </c>
      <c r="H970" s="3" t="s">
        <v>1965</v>
      </c>
      <c r="I970" s="3"/>
      <c r="J970" s="3" t="s">
        <v>1260</v>
      </c>
      <c r="K970" s="3" t="s">
        <v>1340</v>
      </c>
      <c r="L970" s="3" t="s">
        <v>1341</v>
      </c>
      <c r="M970" s="3" t="s">
        <v>1342</v>
      </c>
      <c r="N970" s="3" t="s">
        <v>1980</v>
      </c>
    </row>
    <row r="971" spans="1:14" x14ac:dyDescent="0.45">
      <c r="A971" s="3" t="s">
        <v>1175</v>
      </c>
      <c r="B971" s="3" t="s">
        <v>559</v>
      </c>
      <c r="C971" s="3" t="s">
        <v>1791</v>
      </c>
      <c r="D971" s="3"/>
      <c r="E971" s="3" t="s">
        <v>1352</v>
      </c>
      <c r="F971" s="79">
        <v>1990</v>
      </c>
      <c r="G971" s="3" t="s">
        <v>1221</v>
      </c>
      <c r="H971" s="3" t="s">
        <v>1965</v>
      </c>
      <c r="I971" s="3"/>
      <c r="J971" s="3" t="s">
        <v>1260</v>
      </c>
      <c r="K971" s="3" t="s">
        <v>1340</v>
      </c>
      <c r="L971" s="3" t="s">
        <v>1341</v>
      </c>
      <c r="M971" s="3" t="s">
        <v>1342</v>
      </c>
      <c r="N971" s="3" t="s">
        <v>1981</v>
      </c>
    </row>
    <row r="972" spans="1:14" x14ac:dyDescent="0.45">
      <c r="A972" s="3" t="s">
        <v>1175</v>
      </c>
      <c r="B972" s="3" t="s">
        <v>559</v>
      </c>
      <c r="C972" s="3" t="s">
        <v>1793</v>
      </c>
      <c r="D972" s="3"/>
      <c r="E972" s="3" t="s">
        <v>1356</v>
      </c>
      <c r="F972" s="79">
        <v>2045</v>
      </c>
      <c r="G972" s="3" t="s">
        <v>1221</v>
      </c>
      <c r="H972" s="3" t="s">
        <v>1965</v>
      </c>
      <c r="I972" s="3"/>
      <c r="J972" s="3" t="s">
        <v>1260</v>
      </c>
      <c r="K972" s="3" t="s">
        <v>1340</v>
      </c>
      <c r="L972" s="3" t="s">
        <v>1341</v>
      </c>
      <c r="M972" s="3" t="s">
        <v>1342</v>
      </c>
      <c r="N972" s="3" t="s">
        <v>1982</v>
      </c>
    </row>
    <row r="973" spans="1:14" x14ac:dyDescent="0.45">
      <c r="A973" s="3" t="s">
        <v>742</v>
      </c>
      <c r="B973" s="3" t="s">
        <v>1983</v>
      </c>
      <c r="C973" s="3" t="s">
        <v>1755</v>
      </c>
      <c r="D973" s="3"/>
      <c r="E973" s="3" t="s">
        <v>1220</v>
      </c>
      <c r="F973" s="79">
        <v>849</v>
      </c>
      <c r="G973" s="3" t="s">
        <v>1221</v>
      </c>
      <c r="H973" s="3" t="s">
        <v>1984</v>
      </c>
      <c r="I973" s="3"/>
      <c r="J973" s="3" t="s">
        <v>1224</v>
      </c>
      <c r="K973" s="3" t="s">
        <v>1225</v>
      </c>
      <c r="L973" s="3" t="s">
        <v>1226</v>
      </c>
      <c r="M973" s="3" t="s">
        <v>1227</v>
      </c>
      <c r="N973" s="3" t="s">
        <v>1956</v>
      </c>
    </row>
    <row r="974" spans="1:14" x14ac:dyDescent="0.45">
      <c r="A974" s="3" t="s">
        <v>742</v>
      </c>
      <c r="B974" s="3" t="s">
        <v>1983</v>
      </c>
      <c r="C974" s="3" t="s">
        <v>1757</v>
      </c>
      <c r="D974" s="3"/>
      <c r="E974" s="3" t="s">
        <v>1231</v>
      </c>
      <c r="F974" s="79">
        <v>0</v>
      </c>
      <c r="G974" s="3" t="s">
        <v>1221</v>
      </c>
      <c r="H974" s="3" t="s">
        <v>1984</v>
      </c>
      <c r="I974" s="3"/>
      <c r="J974" s="3" t="s">
        <v>1224</v>
      </c>
      <c r="K974" s="3" t="s">
        <v>1225</v>
      </c>
      <c r="L974" s="3" t="s">
        <v>1226</v>
      </c>
      <c r="M974" s="3" t="s">
        <v>1227</v>
      </c>
      <c r="N974" s="3" t="s">
        <v>1571</v>
      </c>
    </row>
    <row r="975" spans="1:14" x14ac:dyDescent="0.45">
      <c r="A975" s="3" t="s">
        <v>1176</v>
      </c>
      <c r="B975" s="3" t="s">
        <v>561</v>
      </c>
      <c r="C975" s="3" t="s">
        <v>1755</v>
      </c>
      <c r="D975" s="3"/>
      <c r="E975" s="3" t="s">
        <v>1220</v>
      </c>
      <c r="F975" s="79">
        <v>776</v>
      </c>
      <c r="G975" s="3" t="s">
        <v>1221</v>
      </c>
      <c r="H975" s="3" t="s">
        <v>1985</v>
      </c>
      <c r="I975" s="3"/>
      <c r="J975" s="3" t="s">
        <v>1224</v>
      </c>
      <c r="K975" s="3" t="s">
        <v>1817</v>
      </c>
      <c r="L975" s="3" t="s">
        <v>1818</v>
      </c>
      <c r="M975" s="3" t="s">
        <v>1819</v>
      </c>
      <c r="N975" s="3" t="s">
        <v>1909</v>
      </c>
    </row>
    <row r="976" spans="1:14" x14ac:dyDescent="0.45">
      <c r="A976" s="3" t="s">
        <v>1176</v>
      </c>
      <c r="B976" s="3" t="s">
        <v>561</v>
      </c>
      <c r="C976" s="3" t="s">
        <v>1757</v>
      </c>
      <c r="D976" s="3"/>
      <c r="E976" s="3" t="s">
        <v>1231</v>
      </c>
      <c r="F976" s="79">
        <v>1735</v>
      </c>
      <c r="G976" s="3" t="s">
        <v>1221</v>
      </c>
      <c r="H976" s="3" t="s">
        <v>1985</v>
      </c>
      <c r="I976" s="3"/>
      <c r="J976" s="3" t="s">
        <v>1224</v>
      </c>
      <c r="K976" s="3" t="s">
        <v>1225</v>
      </c>
      <c r="L976" s="3" t="s">
        <v>1226</v>
      </c>
      <c r="M976" s="3" t="s">
        <v>1227</v>
      </c>
      <c r="N976" s="3" t="s">
        <v>1910</v>
      </c>
    </row>
    <row r="977" spans="1:14" x14ac:dyDescent="0.45">
      <c r="A977" s="3" t="s">
        <v>1176</v>
      </c>
      <c r="B977" s="3" t="s">
        <v>561</v>
      </c>
      <c r="C977" s="3" t="s">
        <v>1759</v>
      </c>
      <c r="D977" s="3"/>
      <c r="E977" s="3" t="s">
        <v>1266</v>
      </c>
      <c r="F977" s="79">
        <v>1734</v>
      </c>
      <c r="G977" s="3" t="s">
        <v>1221</v>
      </c>
      <c r="H977" s="3" t="s">
        <v>1985</v>
      </c>
      <c r="I977" s="3"/>
      <c r="J977" s="3" t="s">
        <v>1260</v>
      </c>
      <c r="K977" s="3" t="s">
        <v>1821</v>
      </c>
      <c r="L977" s="3" t="s">
        <v>1822</v>
      </c>
      <c r="M977" s="3" t="s">
        <v>1823</v>
      </c>
      <c r="N977" s="3" t="s">
        <v>1911</v>
      </c>
    </row>
    <row r="978" spans="1:14" x14ac:dyDescent="0.45">
      <c r="A978" s="3" t="s">
        <v>1176</v>
      </c>
      <c r="B978" s="3" t="s">
        <v>561</v>
      </c>
      <c r="C978" s="3" t="s">
        <v>1761</v>
      </c>
      <c r="D978" s="3"/>
      <c r="E978" s="3" t="s">
        <v>1273</v>
      </c>
      <c r="F978" s="79">
        <v>1750</v>
      </c>
      <c r="G978" s="3" t="s">
        <v>1221</v>
      </c>
      <c r="H978" s="3" t="s">
        <v>1985</v>
      </c>
      <c r="I978" s="3"/>
      <c r="J978" s="3" t="s">
        <v>1260</v>
      </c>
      <c r="K978" s="3" t="s">
        <v>1825</v>
      </c>
      <c r="L978" s="3" t="s">
        <v>1826</v>
      </c>
      <c r="M978" s="3" t="s">
        <v>1827</v>
      </c>
      <c r="N978" s="3" t="s">
        <v>1912</v>
      </c>
    </row>
    <row r="979" spans="1:14" x14ac:dyDescent="0.45">
      <c r="A979" s="3" t="s">
        <v>1176</v>
      </c>
      <c r="B979" s="3" t="s">
        <v>561</v>
      </c>
      <c r="C979" s="3" t="s">
        <v>1763</v>
      </c>
      <c r="D979" s="3"/>
      <c r="E979" s="3" t="s">
        <v>1280</v>
      </c>
      <c r="F979" s="79">
        <v>1741</v>
      </c>
      <c r="G979" s="3" t="s">
        <v>1221</v>
      </c>
      <c r="H979" s="3" t="s">
        <v>1985</v>
      </c>
      <c r="I979" s="3"/>
      <c r="J979" s="3" t="s">
        <v>1260</v>
      </c>
      <c r="K979" s="3" t="s">
        <v>1261</v>
      </c>
      <c r="L979" s="3" t="s">
        <v>1262</v>
      </c>
      <c r="M979" s="3" t="s">
        <v>1263</v>
      </c>
      <c r="N979" s="3" t="s">
        <v>1913</v>
      </c>
    </row>
    <row r="980" spans="1:14" x14ac:dyDescent="0.45">
      <c r="A980" s="3" t="s">
        <v>1176</v>
      </c>
      <c r="B980" s="3" t="s">
        <v>561</v>
      </c>
      <c r="C980" s="3" t="s">
        <v>1765</v>
      </c>
      <c r="D980" s="3"/>
      <c r="E980" s="3" t="s">
        <v>1238</v>
      </c>
      <c r="F980" s="79">
        <v>1761</v>
      </c>
      <c r="G980" s="3" t="s">
        <v>1221</v>
      </c>
      <c r="H980" s="3" t="s">
        <v>1985</v>
      </c>
      <c r="I980" s="3"/>
      <c r="J980" s="3" t="s">
        <v>1224</v>
      </c>
      <c r="K980" s="3" t="s">
        <v>1232</v>
      </c>
      <c r="L980" s="3" t="s">
        <v>1233</v>
      </c>
      <c r="M980" s="3" t="s">
        <v>1234</v>
      </c>
      <c r="N980" s="3" t="s">
        <v>1914</v>
      </c>
    </row>
    <row r="981" spans="1:14" x14ac:dyDescent="0.45">
      <c r="A981" s="3" t="s">
        <v>1176</v>
      </c>
      <c r="B981" s="3" t="s">
        <v>561</v>
      </c>
      <c r="C981" s="3" t="s">
        <v>1767</v>
      </c>
      <c r="D981" s="3"/>
      <c r="E981" s="3" t="s">
        <v>1288</v>
      </c>
      <c r="F981" s="79">
        <v>1795</v>
      </c>
      <c r="G981" s="3" t="s">
        <v>1221</v>
      </c>
      <c r="H981" s="3" t="s">
        <v>1985</v>
      </c>
      <c r="I981" s="3"/>
      <c r="J981" s="3" t="s">
        <v>1260</v>
      </c>
      <c r="K981" s="3" t="s">
        <v>1267</v>
      </c>
      <c r="L981" s="3" t="s">
        <v>1268</v>
      </c>
      <c r="M981" s="3" t="s">
        <v>1269</v>
      </c>
      <c r="N981" s="3" t="s">
        <v>1915</v>
      </c>
    </row>
    <row r="982" spans="1:14" x14ac:dyDescent="0.45">
      <c r="A982" s="3" t="s">
        <v>1176</v>
      </c>
      <c r="B982" s="3" t="s">
        <v>561</v>
      </c>
      <c r="C982" s="3" t="s">
        <v>1769</v>
      </c>
      <c r="D982" s="3"/>
      <c r="E982" s="3" t="s">
        <v>1295</v>
      </c>
      <c r="F982" s="79">
        <v>1795</v>
      </c>
      <c r="G982" s="3" t="s">
        <v>1221</v>
      </c>
      <c r="H982" s="3" t="s">
        <v>1985</v>
      </c>
      <c r="I982" s="3"/>
      <c r="J982" s="3" t="s">
        <v>1260</v>
      </c>
      <c r="K982" s="3" t="s">
        <v>1274</v>
      </c>
      <c r="L982" s="3" t="s">
        <v>1275</v>
      </c>
      <c r="M982" s="3" t="s">
        <v>1276</v>
      </c>
      <c r="N982" s="3" t="s">
        <v>1915</v>
      </c>
    </row>
    <row r="983" spans="1:14" x14ac:dyDescent="0.45">
      <c r="A983" s="3" t="s">
        <v>1176</v>
      </c>
      <c r="B983" s="3" t="s">
        <v>561</v>
      </c>
      <c r="C983" s="3" t="s">
        <v>1771</v>
      </c>
      <c r="D983" s="3"/>
      <c r="E983" s="3" t="s">
        <v>1302</v>
      </c>
      <c r="F983" s="79">
        <v>1834</v>
      </c>
      <c r="G983" s="3" t="s">
        <v>1221</v>
      </c>
      <c r="H983" s="3" t="s">
        <v>1985</v>
      </c>
      <c r="I983" s="3"/>
      <c r="J983" s="3" t="s">
        <v>1260</v>
      </c>
      <c r="K983" s="3" t="s">
        <v>1281</v>
      </c>
      <c r="L983" s="3" t="s">
        <v>1282</v>
      </c>
      <c r="M983" s="3" t="s">
        <v>1283</v>
      </c>
      <c r="N983" s="3" t="s">
        <v>1916</v>
      </c>
    </row>
    <row r="984" spans="1:14" x14ac:dyDescent="0.45">
      <c r="A984" s="3" t="s">
        <v>1176</v>
      </c>
      <c r="B984" s="3" t="s">
        <v>561</v>
      </c>
      <c r="C984" s="3" t="s">
        <v>1773</v>
      </c>
      <c r="D984" s="3"/>
      <c r="E984" s="3" t="s">
        <v>1245</v>
      </c>
      <c r="F984" s="79">
        <v>1958</v>
      </c>
      <c r="G984" s="3" t="s">
        <v>1221</v>
      </c>
      <c r="H984" s="3" t="s">
        <v>1985</v>
      </c>
      <c r="I984" s="3"/>
      <c r="J984" s="3" t="s">
        <v>1224</v>
      </c>
      <c r="K984" s="3" t="s">
        <v>1239</v>
      </c>
      <c r="L984" s="3" t="s">
        <v>1240</v>
      </c>
      <c r="M984" s="3" t="s">
        <v>1241</v>
      </c>
      <c r="N984" s="3" t="s">
        <v>1917</v>
      </c>
    </row>
    <row r="985" spans="1:14" x14ac:dyDescent="0.45">
      <c r="A985" s="3" t="s">
        <v>1176</v>
      </c>
      <c r="B985" s="3" t="s">
        <v>561</v>
      </c>
      <c r="C985" s="3" t="s">
        <v>1775</v>
      </c>
      <c r="D985" s="3"/>
      <c r="E985" s="3" t="s">
        <v>1310</v>
      </c>
      <c r="F985" s="79">
        <v>2052</v>
      </c>
      <c r="G985" s="3" t="s">
        <v>1221</v>
      </c>
      <c r="H985" s="3" t="s">
        <v>1985</v>
      </c>
      <c r="I985" s="3"/>
      <c r="J985" s="3" t="s">
        <v>1260</v>
      </c>
      <c r="K985" s="3" t="s">
        <v>1289</v>
      </c>
      <c r="L985" s="3" t="s">
        <v>1290</v>
      </c>
      <c r="M985" s="3" t="s">
        <v>1291</v>
      </c>
      <c r="N985" s="3" t="s">
        <v>1918</v>
      </c>
    </row>
    <row r="986" spans="1:14" x14ac:dyDescent="0.45">
      <c r="A986" s="3" t="s">
        <v>1176</v>
      </c>
      <c r="B986" s="3" t="s">
        <v>561</v>
      </c>
      <c r="C986" s="3" t="s">
        <v>1777</v>
      </c>
      <c r="D986" s="3"/>
      <c r="E986" s="3" t="s">
        <v>1317</v>
      </c>
      <c r="F986" s="79">
        <v>2155</v>
      </c>
      <c r="G986" s="3" t="s">
        <v>1221</v>
      </c>
      <c r="H986" s="3" t="s">
        <v>1985</v>
      </c>
      <c r="I986" s="3"/>
      <c r="J986" s="3" t="s">
        <v>1260</v>
      </c>
      <c r="K986" s="3" t="s">
        <v>1296</v>
      </c>
      <c r="L986" s="3" t="s">
        <v>1297</v>
      </c>
      <c r="M986" s="3" t="s">
        <v>1298</v>
      </c>
      <c r="N986" s="3" t="s">
        <v>1919</v>
      </c>
    </row>
    <row r="987" spans="1:14" x14ac:dyDescent="0.45">
      <c r="A987" s="3" t="s">
        <v>1176</v>
      </c>
      <c r="B987" s="3" t="s">
        <v>561</v>
      </c>
      <c r="C987" s="3" t="s">
        <v>1779</v>
      </c>
      <c r="D987" s="3"/>
      <c r="E987" s="3" t="s">
        <v>1324</v>
      </c>
      <c r="F987" s="79">
        <v>2227</v>
      </c>
      <c r="G987" s="3" t="s">
        <v>1221</v>
      </c>
      <c r="H987" s="3" t="s">
        <v>1985</v>
      </c>
      <c r="I987" s="3"/>
      <c r="J987" s="3" t="s">
        <v>1260</v>
      </c>
      <c r="K987" s="3" t="s">
        <v>1303</v>
      </c>
      <c r="L987" s="3" t="s">
        <v>1304</v>
      </c>
      <c r="M987" s="3" t="s">
        <v>1305</v>
      </c>
      <c r="N987" s="3" t="s">
        <v>1920</v>
      </c>
    </row>
    <row r="988" spans="1:14" x14ac:dyDescent="0.45">
      <c r="A988" s="3" t="s">
        <v>1176</v>
      </c>
      <c r="B988" s="3" t="s">
        <v>561</v>
      </c>
      <c r="C988" s="3" t="s">
        <v>1781</v>
      </c>
      <c r="D988" s="3"/>
      <c r="E988" s="3" t="s">
        <v>1252</v>
      </c>
      <c r="F988" s="79">
        <v>2408</v>
      </c>
      <c r="G988" s="3" t="s">
        <v>1221</v>
      </c>
      <c r="H988" s="3" t="s">
        <v>1985</v>
      </c>
      <c r="I988" s="3"/>
      <c r="J988" s="3" t="s">
        <v>1224</v>
      </c>
      <c r="K988" s="3" t="s">
        <v>1246</v>
      </c>
      <c r="L988" s="3" t="s">
        <v>1247</v>
      </c>
      <c r="M988" s="3" t="s">
        <v>1248</v>
      </c>
      <c r="N988" s="3" t="s">
        <v>1921</v>
      </c>
    </row>
    <row r="989" spans="1:14" x14ac:dyDescent="0.45">
      <c r="A989" s="3" t="s">
        <v>1176</v>
      </c>
      <c r="B989" s="3" t="s">
        <v>561</v>
      </c>
      <c r="C989" s="3" t="s">
        <v>1783</v>
      </c>
      <c r="D989" s="3"/>
      <c r="E989" s="3" t="s">
        <v>1332</v>
      </c>
      <c r="F989" s="79">
        <v>2564</v>
      </c>
      <c r="G989" s="3" t="s">
        <v>1221</v>
      </c>
      <c r="H989" s="3" t="s">
        <v>1985</v>
      </c>
      <c r="I989" s="3"/>
      <c r="J989" s="3" t="s">
        <v>1260</v>
      </c>
      <c r="K989" s="3" t="s">
        <v>1311</v>
      </c>
      <c r="L989" s="3" t="s">
        <v>1312</v>
      </c>
      <c r="M989" s="3" t="s">
        <v>1313</v>
      </c>
      <c r="N989" s="3" t="s">
        <v>1922</v>
      </c>
    </row>
    <row r="990" spans="1:14" x14ac:dyDescent="0.45">
      <c r="A990" s="3" t="s">
        <v>1176</v>
      </c>
      <c r="B990" s="3" t="s">
        <v>561</v>
      </c>
      <c r="C990" s="3" t="s">
        <v>1785</v>
      </c>
      <c r="D990" s="3"/>
      <c r="E990" s="3" t="s">
        <v>1339</v>
      </c>
      <c r="F990" s="79">
        <v>2767</v>
      </c>
      <c r="G990" s="3" t="s">
        <v>1221</v>
      </c>
      <c r="H990" s="3" t="s">
        <v>1985</v>
      </c>
      <c r="I990" s="3"/>
      <c r="J990" s="3" t="s">
        <v>1260</v>
      </c>
      <c r="K990" s="3" t="s">
        <v>1318</v>
      </c>
      <c r="L990" s="3" t="s">
        <v>1319</v>
      </c>
      <c r="M990" s="3" t="s">
        <v>1320</v>
      </c>
      <c r="N990" s="3" t="s">
        <v>1923</v>
      </c>
    </row>
    <row r="991" spans="1:14" x14ac:dyDescent="0.45">
      <c r="A991" s="3" t="s">
        <v>1176</v>
      </c>
      <c r="B991" s="3" t="s">
        <v>561</v>
      </c>
      <c r="C991" s="3" t="s">
        <v>1787</v>
      </c>
      <c r="D991" s="3"/>
      <c r="E991" s="3" t="s">
        <v>1346</v>
      </c>
      <c r="F991" s="79">
        <v>2971</v>
      </c>
      <c r="G991" s="3" t="s">
        <v>1221</v>
      </c>
      <c r="H991" s="3" t="s">
        <v>1985</v>
      </c>
      <c r="I991" s="3"/>
      <c r="J991" s="3" t="s">
        <v>1260</v>
      </c>
      <c r="K991" s="3" t="s">
        <v>1325</v>
      </c>
      <c r="L991" s="3" t="s">
        <v>1326</v>
      </c>
      <c r="M991" s="3" t="s">
        <v>1327</v>
      </c>
      <c r="N991" s="3" t="s">
        <v>1924</v>
      </c>
    </row>
    <row r="992" spans="1:14" x14ac:dyDescent="0.45">
      <c r="A992" s="3" t="s">
        <v>1176</v>
      </c>
      <c r="B992" s="3" t="s">
        <v>561</v>
      </c>
      <c r="C992" s="3" t="s">
        <v>1789</v>
      </c>
      <c r="D992" s="3"/>
      <c r="E992" s="3" t="s">
        <v>1256</v>
      </c>
      <c r="F992" s="79">
        <v>3145</v>
      </c>
      <c r="G992" s="3" t="s">
        <v>1221</v>
      </c>
      <c r="H992" s="3" t="s">
        <v>1985</v>
      </c>
      <c r="I992" s="3"/>
      <c r="J992" s="3" t="s">
        <v>1260</v>
      </c>
      <c r="K992" s="3" t="s">
        <v>1340</v>
      </c>
      <c r="L992" s="3" t="s">
        <v>1341</v>
      </c>
      <c r="M992" s="3" t="s">
        <v>1342</v>
      </c>
      <c r="N992" s="3" t="s">
        <v>1925</v>
      </c>
    </row>
    <row r="993" spans="1:14" x14ac:dyDescent="0.45">
      <c r="A993" s="3" t="s">
        <v>1176</v>
      </c>
      <c r="B993" s="3" t="s">
        <v>561</v>
      </c>
      <c r="C993" s="3" t="s">
        <v>1791</v>
      </c>
      <c r="D993" s="3"/>
      <c r="E993" s="3" t="s">
        <v>1352</v>
      </c>
      <c r="F993" s="79">
        <v>3094</v>
      </c>
      <c r="G993" s="3" t="s">
        <v>1221</v>
      </c>
      <c r="H993" s="3" t="s">
        <v>1985</v>
      </c>
      <c r="I993" s="3"/>
      <c r="J993" s="3" t="s">
        <v>1260</v>
      </c>
      <c r="K993" s="3" t="s">
        <v>1333</v>
      </c>
      <c r="L993" s="3" t="s">
        <v>1334</v>
      </c>
      <c r="M993" s="3" t="s">
        <v>1335</v>
      </c>
      <c r="N993" s="3" t="s">
        <v>1926</v>
      </c>
    </row>
    <row r="994" spans="1:14" x14ac:dyDescent="0.45">
      <c r="A994" s="3" t="s">
        <v>1176</v>
      </c>
      <c r="B994" s="3" t="s">
        <v>561</v>
      </c>
      <c r="C994" s="3" t="s">
        <v>1793</v>
      </c>
      <c r="D994" s="3"/>
      <c r="E994" s="3" t="s">
        <v>1356</v>
      </c>
      <c r="F994" s="79">
        <v>3181</v>
      </c>
      <c r="G994" s="3" t="s">
        <v>1221</v>
      </c>
      <c r="H994" s="3" t="s">
        <v>1985</v>
      </c>
      <c r="I994" s="3"/>
      <c r="J994" s="3" t="s">
        <v>1260</v>
      </c>
      <c r="K994" s="3" t="s">
        <v>1340</v>
      </c>
      <c r="L994" s="3" t="s">
        <v>1341</v>
      </c>
      <c r="M994" s="3" t="s">
        <v>1342</v>
      </c>
      <c r="N994" s="3" t="s">
        <v>1927</v>
      </c>
    </row>
    <row r="995" spans="1:14" x14ac:dyDescent="0.45">
      <c r="A995" s="3" t="s">
        <v>509</v>
      </c>
      <c r="B995" s="3" t="s">
        <v>75</v>
      </c>
      <c r="C995" s="3" t="s">
        <v>1986</v>
      </c>
      <c r="D995" s="3" t="s">
        <v>1987</v>
      </c>
      <c r="E995" s="3" t="s">
        <v>1988</v>
      </c>
      <c r="F995" s="79">
        <v>-0.27</v>
      </c>
      <c r="G995" s="3" t="s">
        <v>1221</v>
      </c>
      <c r="H995" s="3" t="s">
        <v>1989</v>
      </c>
      <c r="I995" s="3"/>
      <c r="J995" s="3" t="s">
        <v>1990</v>
      </c>
      <c r="K995" s="3" t="s">
        <v>1991</v>
      </c>
      <c r="L995" s="3"/>
      <c r="M995" s="3" t="s">
        <v>1992</v>
      </c>
      <c r="N995" s="3" t="s">
        <v>1993</v>
      </c>
    </row>
    <row r="996" spans="1:14" x14ac:dyDescent="0.45">
      <c r="A996" s="3" t="s">
        <v>509</v>
      </c>
      <c r="B996" s="3" t="s">
        <v>75</v>
      </c>
      <c r="C996" s="3" t="s">
        <v>1994</v>
      </c>
      <c r="D996" s="3" t="s">
        <v>1995</v>
      </c>
      <c r="E996" s="3" t="s">
        <v>1220</v>
      </c>
      <c r="F996" s="79">
        <v>-7</v>
      </c>
      <c r="G996" s="3" t="s">
        <v>1221</v>
      </c>
      <c r="H996" s="3" t="s">
        <v>1989</v>
      </c>
      <c r="I996" s="3"/>
      <c r="J996" s="3" t="s">
        <v>1990</v>
      </c>
      <c r="K996" s="3" t="s">
        <v>1996</v>
      </c>
      <c r="L996" s="3"/>
      <c r="M996" s="3" t="s">
        <v>1997</v>
      </c>
      <c r="N996" s="3" t="s">
        <v>1998</v>
      </c>
    </row>
    <row r="997" spans="1:14" x14ac:dyDescent="0.45">
      <c r="A997" s="3" t="s">
        <v>509</v>
      </c>
      <c r="B997" s="3" t="s">
        <v>75</v>
      </c>
      <c r="C997" s="3" t="s">
        <v>1999</v>
      </c>
      <c r="D997" s="3" t="s">
        <v>1230</v>
      </c>
      <c r="E997" s="3" t="s">
        <v>2000</v>
      </c>
      <c r="F997" s="79">
        <v>4</v>
      </c>
      <c r="G997" s="3" t="s">
        <v>1221</v>
      </c>
      <c r="H997" s="3" t="s">
        <v>1989</v>
      </c>
      <c r="I997" s="3"/>
      <c r="J997" s="3" t="s">
        <v>1990</v>
      </c>
      <c r="K997" s="3" t="s">
        <v>2001</v>
      </c>
      <c r="L997" s="3"/>
      <c r="M997" s="3" t="s">
        <v>2002</v>
      </c>
      <c r="N997" s="3" t="s">
        <v>2003</v>
      </c>
    </row>
    <row r="998" spans="1:14" x14ac:dyDescent="0.45">
      <c r="A998" s="3" t="s">
        <v>509</v>
      </c>
      <c r="B998" s="3" t="s">
        <v>75</v>
      </c>
      <c r="C998" s="3" t="s">
        <v>2004</v>
      </c>
      <c r="D998" s="3" t="s">
        <v>2005</v>
      </c>
      <c r="E998" s="3" t="s">
        <v>2006</v>
      </c>
      <c r="F998" s="79">
        <v>11</v>
      </c>
      <c r="G998" s="3" t="s">
        <v>1221</v>
      </c>
      <c r="H998" s="3" t="s">
        <v>1989</v>
      </c>
      <c r="I998" s="3"/>
      <c r="J998" s="3" t="s">
        <v>1990</v>
      </c>
      <c r="K998" s="3" t="s">
        <v>2007</v>
      </c>
      <c r="L998" s="3"/>
      <c r="M998" s="3" t="s">
        <v>2008</v>
      </c>
      <c r="N998" s="3" t="s">
        <v>2009</v>
      </c>
    </row>
    <row r="999" spans="1:14" x14ac:dyDescent="0.45">
      <c r="A999" s="3" t="s">
        <v>509</v>
      </c>
      <c r="B999" s="3" t="s">
        <v>75</v>
      </c>
      <c r="C999" s="3" t="s">
        <v>2010</v>
      </c>
      <c r="D999" s="3" t="s">
        <v>2011</v>
      </c>
      <c r="E999" s="3" t="s">
        <v>1259</v>
      </c>
      <c r="F999" s="79">
        <v>-9.734</v>
      </c>
      <c r="G999" s="3" t="s">
        <v>1221</v>
      </c>
      <c r="H999" s="3" t="s">
        <v>2012</v>
      </c>
      <c r="I999" s="3"/>
      <c r="J999" s="3" t="s">
        <v>1990</v>
      </c>
      <c r="K999" s="3" t="s">
        <v>1991</v>
      </c>
      <c r="L999" s="3"/>
      <c r="M999" s="3" t="s">
        <v>1992</v>
      </c>
      <c r="N999" s="3" t="s">
        <v>1993</v>
      </c>
    </row>
    <row r="1000" spans="1:14" x14ac:dyDescent="0.45">
      <c r="A1000" s="3" t="s">
        <v>509</v>
      </c>
      <c r="B1000" s="3" t="s">
        <v>75</v>
      </c>
      <c r="C1000" s="3" t="s">
        <v>1229</v>
      </c>
      <c r="D1000" s="3" t="s">
        <v>1230</v>
      </c>
      <c r="E1000" s="3" t="s">
        <v>1231</v>
      </c>
      <c r="F1000" s="79">
        <v>-42</v>
      </c>
      <c r="G1000" s="3" t="s">
        <v>1221</v>
      </c>
      <c r="H1000" s="3" t="s">
        <v>2012</v>
      </c>
      <c r="I1000" s="3"/>
      <c r="J1000" s="3" t="s">
        <v>1990</v>
      </c>
      <c r="K1000" s="3" t="s">
        <v>1996</v>
      </c>
      <c r="L1000" s="3"/>
      <c r="M1000" s="3" t="s">
        <v>1997</v>
      </c>
      <c r="N1000" s="3" t="s">
        <v>1998</v>
      </c>
    </row>
    <row r="1001" spans="1:14" x14ac:dyDescent="0.45">
      <c r="A1001" s="3" t="s">
        <v>509</v>
      </c>
      <c r="B1001" s="3" t="s">
        <v>75</v>
      </c>
      <c r="C1001" s="3" t="s">
        <v>2013</v>
      </c>
      <c r="D1001" s="3" t="s">
        <v>2014</v>
      </c>
      <c r="E1001" s="3" t="s">
        <v>1231</v>
      </c>
      <c r="F1001" s="79">
        <v>-45</v>
      </c>
      <c r="G1001" s="3" t="s">
        <v>1221</v>
      </c>
      <c r="H1001" s="3" t="s">
        <v>2012</v>
      </c>
      <c r="I1001" s="3"/>
      <c r="J1001" s="3" t="s">
        <v>1990</v>
      </c>
      <c r="K1001" s="3" t="s">
        <v>1996</v>
      </c>
      <c r="L1001" s="3"/>
      <c r="M1001" s="3" t="s">
        <v>1997</v>
      </c>
      <c r="N1001" s="3" t="s">
        <v>1998</v>
      </c>
    </row>
    <row r="1002" spans="1:14" x14ac:dyDescent="0.45">
      <c r="A1002" s="3" t="s">
        <v>509</v>
      </c>
      <c r="B1002" s="3" t="s">
        <v>75</v>
      </c>
      <c r="C1002" s="3" t="s">
        <v>1265</v>
      </c>
      <c r="D1002" s="3" t="s">
        <v>1237</v>
      </c>
      <c r="E1002" s="3" t="s">
        <v>1266</v>
      </c>
      <c r="F1002" s="79">
        <v>-45</v>
      </c>
      <c r="G1002" s="3" t="s">
        <v>1221</v>
      </c>
      <c r="H1002" s="3" t="s">
        <v>2012</v>
      </c>
      <c r="I1002" s="3"/>
      <c r="J1002" s="3" t="s">
        <v>1990</v>
      </c>
      <c r="K1002" s="3" t="s">
        <v>2001</v>
      </c>
      <c r="L1002" s="3"/>
      <c r="M1002" s="3" t="s">
        <v>2002</v>
      </c>
      <c r="N1002" s="3" t="s">
        <v>2003</v>
      </c>
    </row>
    <row r="1003" spans="1:14" x14ac:dyDescent="0.45">
      <c r="A1003" s="3" t="s">
        <v>509</v>
      </c>
      <c r="B1003" s="3" t="s">
        <v>75</v>
      </c>
      <c r="C1003" s="3" t="s">
        <v>1271</v>
      </c>
      <c r="D1003" s="3" t="s">
        <v>1272</v>
      </c>
      <c r="E1003" s="3" t="s">
        <v>1273</v>
      </c>
      <c r="F1003" s="79">
        <v>-33</v>
      </c>
      <c r="G1003" s="3" t="s">
        <v>1221</v>
      </c>
      <c r="H1003" s="3" t="s">
        <v>2012</v>
      </c>
      <c r="I1003" s="3"/>
      <c r="J1003" s="3" t="s">
        <v>1990</v>
      </c>
      <c r="K1003" s="3" t="s">
        <v>2007</v>
      </c>
      <c r="L1003" s="3"/>
      <c r="M1003" s="3" t="s">
        <v>2008</v>
      </c>
      <c r="N1003" s="3" t="s">
        <v>2009</v>
      </c>
    </row>
    <row r="1004" spans="1:14" x14ac:dyDescent="0.45">
      <c r="A1004" s="3" t="s">
        <v>509</v>
      </c>
      <c r="B1004" s="3" t="s">
        <v>75</v>
      </c>
      <c r="C1004" s="3" t="s">
        <v>1278</v>
      </c>
      <c r="D1004" s="3" t="s">
        <v>1279</v>
      </c>
      <c r="E1004" s="3" t="s">
        <v>1280</v>
      </c>
      <c r="F1004" s="79">
        <v>-19</v>
      </c>
      <c r="G1004" s="3" t="s">
        <v>1221</v>
      </c>
      <c r="H1004" s="3" t="s">
        <v>2012</v>
      </c>
      <c r="I1004" s="3"/>
      <c r="J1004" s="3" t="s">
        <v>1990</v>
      </c>
      <c r="K1004" s="3" t="s">
        <v>2015</v>
      </c>
      <c r="L1004" s="3"/>
      <c r="M1004" s="3" t="s">
        <v>2016</v>
      </c>
      <c r="N1004" s="3" t="s">
        <v>2017</v>
      </c>
    </row>
    <row r="1005" spans="1:14" x14ac:dyDescent="0.45">
      <c r="A1005" s="3" t="s">
        <v>509</v>
      </c>
      <c r="B1005" s="3" t="s">
        <v>75</v>
      </c>
      <c r="C1005" s="3" t="s">
        <v>1236</v>
      </c>
      <c r="D1005" s="3" t="s">
        <v>1237</v>
      </c>
      <c r="E1005" s="3" t="s">
        <v>1238</v>
      </c>
      <c r="F1005" s="79">
        <v>-115</v>
      </c>
      <c r="G1005" s="3" t="s">
        <v>1221</v>
      </c>
      <c r="H1005" s="3" t="s">
        <v>2012</v>
      </c>
      <c r="I1005" s="3"/>
      <c r="J1005" s="3" t="s">
        <v>1990</v>
      </c>
      <c r="K1005" s="3" t="s">
        <v>2018</v>
      </c>
      <c r="L1005" s="3"/>
      <c r="M1005" s="3" t="s">
        <v>2019</v>
      </c>
      <c r="N1005" s="3" t="s">
        <v>2020</v>
      </c>
    </row>
    <row r="1006" spans="1:14" x14ac:dyDescent="0.45">
      <c r="A1006" s="3" t="s">
        <v>509</v>
      </c>
      <c r="B1006" s="3" t="s">
        <v>75</v>
      </c>
      <c r="C1006" s="3" t="s">
        <v>2021</v>
      </c>
      <c r="D1006" s="3" t="s">
        <v>2022</v>
      </c>
      <c r="E1006" s="3" t="s">
        <v>1238</v>
      </c>
      <c r="F1006" s="79">
        <v>-18</v>
      </c>
      <c r="G1006" s="3" t="s">
        <v>1221</v>
      </c>
      <c r="H1006" s="3" t="s">
        <v>2012</v>
      </c>
      <c r="I1006" s="3"/>
      <c r="J1006" s="3" t="s">
        <v>1990</v>
      </c>
      <c r="K1006" s="3" t="s">
        <v>2018</v>
      </c>
      <c r="L1006" s="3"/>
      <c r="M1006" s="3" t="s">
        <v>2019</v>
      </c>
      <c r="N1006" s="3" t="s">
        <v>2020</v>
      </c>
    </row>
    <row r="1007" spans="1:14" x14ac:dyDescent="0.45">
      <c r="A1007" s="3" t="s">
        <v>509</v>
      </c>
      <c r="B1007" s="3" t="s">
        <v>75</v>
      </c>
      <c r="C1007" s="3" t="s">
        <v>1287</v>
      </c>
      <c r="D1007" s="3" t="s">
        <v>1244</v>
      </c>
      <c r="E1007" s="3" t="s">
        <v>1288</v>
      </c>
      <c r="F1007" s="79">
        <v>-17</v>
      </c>
      <c r="G1007" s="3" t="s">
        <v>1221</v>
      </c>
      <c r="H1007" s="3" t="s">
        <v>2012</v>
      </c>
      <c r="I1007" s="3"/>
      <c r="J1007" s="3" t="s">
        <v>1990</v>
      </c>
      <c r="K1007" s="3" t="s">
        <v>2023</v>
      </c>
      <c r="L1007" s="3"/>
      <c r="M1007" s="3" t="s">
        <v>2024</v>
      </c>
      <c r="N1007" s="3" t="s">
        <v>2025</v>
      </c>
    </row>
    <row r="1008" spans="1:14" x14ac:dyDescent="0.45">
      <c r="A1008" s="3" t="s">
        <v>509</v>
      </c>
      <c r="B1008" s="3" t="s">
        <v>75</v>
      </c>
      <c r="C1008" s="3" t="s">
        <v>1293</v>
      </c>
      <c r="D1008" s="3" t="s">
        <v>1294</v>
      </c>
      <c r="E1008" s="3" t="s">
        <v>1295</v>
      </c>
      <c r="F1008" s="79">
        <v>15</v>
      </c>
      <c r="G1008" s="3" t="s">
        <v>1221</v>
      </c>
      <c r="H1008" s="3" t="s">
        <v>2012</v>
      </c>
      <c r="I1008" s="3"/>
      <c r="J1008" s="3" t="s">
        <v>1990</v>
      </c>
      <c r="K1008" s="3" t="s">
        <v>2026</v>
      </c>
      <c r="L1008" s="3"/>
      <c r="M1008" s="3" t="s">
        <v>2027</v>
      </c>
      <c r="N1008" s="3" t="s">
        <v>2028</v>
      </c>
    </row>
    <row r="1009" spans="1:14" x14ac:dyDescent="0.45">
      <c r="A1009" s="3" t="s">
        <v>509</v>
      </c>
      <c r="B1009" s="3" t="s">
        <v>75</v>
      </c>
      <c r="C1009" s="3" t="s">
        <v>1300</v>
      </c>
      <c r="D1009" s="3" t="s">
        <v>1301</v>
      </c>
      <c r="E1009" s="3" t="s">
        <v>1302</v>
      </c>
      <c r="F1009" s="79">
        <v>35</v>
      </c>
      <c r="G1009" s="3" t="s">
        <v>1221</v>
      </c>
      <c r="H1009" s="3" t="s">
        <v>2012</v>
      </c>
      <c r="I1009" s="3"/>
      <c r="J1009" s="3" t="s">
        <v>1990</v>
      </c>
      <c r="K1009" s="3" t="s">
        <v>2029</v>
      </c>
      <c r="L1009" s="3"/>
      <c r="M1009" s="3" t="s">
        <v>2030</v>
      </c>
      <c r="N1009" s="3" t="s">
        <v>2031</v>
      </c>
    </row>
    <row r="1010" spans="1:14" x14ac:dyDescent="0.45">
      <c r="A1010" s="3" t="s">
        <v>509</v>
      </c>
      <c r="B1010" s="3" t="s">
        <v>75</v>
      </c>
      <c r="C1010" s="3" t="s">
        <v>1243</v>
      </c>
      <c r="D1010" s="3" t="s">
        <v>1244</v>
      </c>
      <c r="E1010" s="3" t="s">
        <v>1245</v>
      </c>
      <c r="F1010" s="79">
        <v>61</v>
      </c>
      <c r="G1010" s="3" t="s">
        <v>1221</v>
      </c>
      <c r="H1010" s="3" t="s">
        <v>2012</v>
      </c>
      <c r="I1010" s="3"/>
      <c r="J1010" s="3" t="s">
        <v>1990</v>
      </c>
      <c r="K1010" s="3" t="s">
        <v>2032</v>
      </c>
      <c r="L1010" s="3"/>
      <c r="M1010" s="3" t="s">
        <v>2033</v>
      </c>
      <c r="N1010" s="3" t="s">
        <v>2034</v>
      </c>
    </row>
    <row r="1011" spans="1:14" x14ac:dyDescent="0.45">
      <c r="A1011" s="3" t="s">
        <v>509</v>
      </c>
      <c r="B1011" s="3" t="s">
        <v>75</v>
      </c>
      <c r="C1011" s="3" t="s">
        <v>2035</v>
      </c>
      <c r="D1011" s="3" t="s">
        <v>2036</v>
      </c>
      <c r="E1011" s="3" t="s">
        <v>1245</v>
      </c>
      <c r="F1011" s="79">
        <v>29</v>
      </c>
      <c r="G1011" s="3" t="s">
        <v>1221</v>
      </c>
      <c r="H1011" s="3" t="s">
        <v>2012</v>
      </c>
      <c r="I1011" s="3"/>
      <c r="J1011" s="3" t="s">
        <v>1990</v>
      </c>
      <c r="K1011" s="3" t="s">
        <v>2032</v>
      </c>
      <c r="L1011" s="3"/>
      <c r="M1011" s="3" t="s">
        <v>2033</v>
      </c>
      <c r="N1011" s="3" t="s">
        <v>2034</v>
      </c>
    </row>
    <row r="1012" spans="1:14" x14ac:dyDescent="0.45">
      <c r="A1012" s="3" t="s">
        <v>509</v>
      </c>
      <c r="B1012" s="3" t="s">
        <v>75</v>
      </c>
      <c r="C1012" s="3" t="s">
        <v>1309</v>
      </c>
      <c r="D1012" s="3" t="s">
        <v>1251</v>
      </c>
      <c r="E1012" s="3" t="s">
        <v>1310</v>
      </c>
      <c r="F1012" s="79">
        <v>57</v>
      </c>
      <c r="G1012" s="3" t="s">
        <v>1221</v>
      </c>
      <c r="H1012" s="3" t="s">
        <v>2012</v>
      </c>
      <c r="I1012" s="3"/>
      <c r="J1012" s="3" t="s">
        <v>1990</v>
      </c>
      <c r="K1012" s="3" t="s">
        <v>2037</v>
      </c>
      <c r="L1012" s="3"/>
      <c r="M1012" s="3" t="s">
        <v>2038</v>
      </c>
      <c r="N1012" s="3" t="s">
        <v>2039</v>
      </c>
    </row>
    <row r="1013" spans="1:14" x14ac:dyDescent="0.45">
      <c r="A1013" s="3" t="s">
        <v>509</v>
      </c>
      <c r="B1013" s="3" t="s">
        <v>75</v>
      </c>
      <c r="C1013" s="3" t="s">
        <v>1315</v>
      </c>
      <c r="D1013" s="3" t="s">
        <v>1316</v>
      </c>
      <c r="E1013" s="3" t="s">
        <v>1317</v>
      </c>
      <c r="F1013" s="79">
        <v>92</v>
      </c>
      <c r="G1013" s="3" t="s">
        <v>1221</v>
      </c>
      <c r="H1013" s="3" t="s">
        <v>2012</v>
      </c>
      <c r="I1013" s="3"/>
      <c r="J1013" s="3" t="s">
        <v>1990</v>
      </c>
      <c r="K1013" s="3" t="s">
        <v>2040</v>
      </c>
      <c r="L1013" s="3"/>
      <c r="M1013" s="3" t="s">
        <v>2041</v>
      </c>
      <c r="N1013" s="3" t="s">
        <v>2042</v>
      </c>
    </row>
    <row r="1014" spans="1:14" x14ac:dyDescent="0.45">
      <c r="A1014" s="3" t="s">
        <v>509</v>
      </c>
      <c r="B1014" s="3" t="s">
        <v>75</v>
      </c>
      <c r="C1014" s="3" t="s">
        <v>1322</v>
      </c>
      <c r="D1014" s="3" t="s">
        <v>1323</v>
      </c>
      <c r="E1014" s="3" t="s">
        <v>1324</v>
      </c>
      <c r="F1014" s="79">
        <v>113</v>
      </c>
      <c r="G1014" s="3" t="s">
        <v>1221</v>
      </c>
      <c r="H1014" s="3" t="s">
        <v>2012</v>
      </c>
      <c r="I1014" s="3"/>
      <c r="J1014" s="3" t="s">
        <v>1990</v>
      </c>
      <c r="K1014" s="3" t="s">
        <v>2043</v>
      </c>
      <c r="L1014" s="3"/>
      <c r="M1014" s="3" t="s">
        <v>2044</v>
      </c>
      <c r="N1014" s="3" t="s">
        <v>2045</v>
      </c>
    </row>
    <row r="1015" spans="1:14" x14ac:dyDescent="0.45">
      <c r="A1015" s="3" t="s">
        <v>509</v>
      </c>
      <c r="B1015" s="3" t="s">
        <v>75</v>
      </c>
      <c r="C1015" s="3" t="s">
        <v>2046</v>
      </c>
      <c r="D1015" s="3" t="s">
        <v>2047</v>
      </c>
      <c r="E1015" s="3" t="s">
        <v>1252</v>
      </c>
      <c r="F1015" s="79">
        <v>111</v>
      </c>
      <c r="G1015" s="3" t="s">
        <v>1221</v>
      </c>
      <c r="H1015" s="3" t="s">
        <v>1989</v>
      </c>
      <c r="I1015" s="3"/>
      <c r="J1015" s="3" t="s">
        <v>1990</v>
      </c>
      <c r="K1015" s="3" t="s">
        <v>2048</v>
      </c>
      <c r="L1015" s="3"/>
      <c r="M1015" s="3" t="s">
        <v>2049</v>
      </c>
      <c r="N1015" s="3" t="s">
        <v>2050</v>
      </c>
    </row>
    <row r="1016" spans="1:14" x14ac:dyDescent="0.45">
      <c r="A1016" s="3" t="s">
        <v>509</v>
      </c>
      <c r="B1016" s="3" t="s">
        <v>75</v>
      </c>
      <c r="C1016" s="3" t="s">
        <v>1331</v>
      </c>
      <c r="D1016" s="3" t="s">
        <v>1255</v>
      </c>
      <c r="E1016" s="3" t="s">
        <v>1332</v>
      </c>
      <c r="F1016" s="79">
        <v>133</v>
      </c>
      <c r="G1016" s="3" t="s">
        <v>1221</v>
      </c>
      <c r="H1016" s="3" t="s">
        <v>2012</v>
      </c>
      <c r="I1016" s="3"/>
      <c r="J1016" s="3" t="s">
        <v>1990</v>
      </c>
      <c r="K1016" s="3" t="s">
        <v>2051</v>
      </c>
      <c r="L1016" s="3"/>
      <c r="M1016" s="3" t="s">
        <v>2052</v>
      </c>
      <c r="N1016" s="3" t="s">
        <v>2053</v>
      </c>
    </row>
    <row r="1017" spans="1:14" x14ac:dyDescent="0.45">
      <c r="A1017" s="3" t="s">
        <v>509</v>
      </c>
      <c r="B1017" s="3" t="s">
        <v>75</v>
      </c>
      <c r="C1017" s="3" t="s">
        <v>1337</v>
      </c>
      <c r="D1017" s="3" t="s">
        <v>1338</v>
      </c>
      <c r="E1017" s="3" t="s">
        <v>1339</v>
      </c>
      <c r="F1017" s="79">
        <v>161</v>
      </c>
      <c r="G1017" s="3" t="s">
        <v>1221</v>
      </c>
      <c r="H1017" s="3" t="s">
        <v>2012</v>
      </c>
      <c r="I1017" s="3"/>
      <c r="J1017" s="3" t="s">
        <v>1990</v>
      </c>
      <c r="K1017" s="3" t="s">
        <v>2054</v>
      </c>
      <c r="L1017" s="3"/>
      <c r="M1017" s="3" t="s">
        <v>2055</v>
      </c>
      <c r="N1017" s="3" t="s">
        <v>2056</v>
      </c>
    </row>
    <row r="1018" spans="1:14" x14ac:dyDescent="0.45">
      <c r="A1018" s="3" t="s">
        <v>509</v>
      </c>
      <c r="B1018" s="3" t="s">
        <v>75</v>
      </c>
      <c r="C1018" s="3" t="s">
        <v>1344</v>
      </c>
      <c r="D1018" s="3" t="s">
        <v>1345</v>
      </c>
      <c r="E1018" s="3" t="s">
        <v>1346</v>
      </c>
      <c r="F1018" s="79">
        <v>176</v>
      </c>
      <c r="G1018" s="3" t="s">
        <v>1221</v>
      </c>
      <c r="H1018" s="3" t="s">
        <v>2012</v>
      </c>
      <c r="I1018" s="3"/>
      <c r="J1018" s="3" t="s">
        <v>1990</v>
      </c>
      <c r="K1018" s="3" t="s">
        <v>2057</v>
      </c>
      <c r="L1018" s="3"/>
      <c r="M1018" s="3" t="s">
        <v>2058</v>
      </c>
      <c r="N1018" s="3" t="s">
        <v>2059</v>
      </c>
    </row>
    <row r="1019" spans="1:14" x14ac:dyDescent="0.45">
      <c r="A1019" s="3" t="s">
        <v>509</v>
      </c>
      <c r="B1019" s="3" t="s">
        <v>75</v>
      </c>
      <c r="C1019" s="3" t="s">
        <v>1254</v>
      </c>
      <c r="D1019" s="3" t="s">
        <v>1255</v>
      </c>
      <c r="E1019" s="3" t="s">
        <v>1256</v>
      </c>
      <c r="F1019" s="79">
        <v>633</v>
      </c>
      <c r="G1019" s="3" t="s">
        <v>1221</v>
      </c>
      <c r="H1019" s="3" t="s">
        <v>2012</v>
      </c>
      <c r="I1019" s="3"/>
      <c r="J1019" s="3" t="s">
        <v>1990</v>
      </c>
      <c r="K1019" s="3" t="s">
        <v>2048</v>
      </c>
      <c r="L1019" s="3"/>
      <c r="M1019" s="3" t="s">
        <v>2049</v>
      </c>
      <c r="N1019" s="3" t="s">
        <v>2050</v>
      </c>
    </row>
    <row r="1020" spans="1:14" x14ac:dyDescent="0.45">
      <c r="A1020" s="3" t="s">
        <v>509</v>
      </c>
      <c r="B1020" s="3" t="s">
        <v>75</v>
      </c>
      <c r="C1020" s="3" t="s">
        <v>2060</v>
      </c>
      <c r="D1020" s="3" t="s">
        <v>2061</v>
      </c>
      <c r="E1020" s="3" t="s">
        <v>1256</v>
      </c>
      <c r="F1020" s="79">
        <v>163</v>
      </c>
      <c r="G1020" s="3" t="s">
        <v>1221</v>
      </c>
      <c r="H1020" s="3" t="s">
        <v>2012</v>
      </c>
      <c r="I1020" s="3"/>
      <c r="J1020" s="3" t="s">
        <v>1990</v>
      </c>
      <c r="K1020" s="3" t="s">
        <v>2048</v>
      </c>
      <c r="L1020" s="3"/>
      <c r="M1020" s="3" t="s">
        <v>2049</v>
      </c>
      <c r="N1020" s="3" t="s">
        <v>2050</v>
      </c>
    </row>
    <row r="1021" spans="1:14" x14ac:dyDescent="0.45">
      <c r="A1021" s="3" t="s">
        <v>509</v>
      </c>
      <c r="B1021" s="3" t="s">
        <v>75</v>
      </c>
      <c r="C1021" s="3" t="s">
        <v>1350</v>
      </c>
      <c r="D1021" s="3" t="s">
        <v>1351</v>
      </c>
      <c r="E1021" s="3" t="s">
        <v>1352</v>
      </c>
      <c r="F1021" s="79">
        <v>179</v>
      </c>
      <c r="G1021" s="3" t="s">
        <v>1221</v>
      </c>
      <c r="H1021" s="3" t="s">
        <v>2012</v>
      </c>
      <c r="I1021" s="3"/>
      <c r="J1021" s="3" t="s">
        <v>1990</v>
      </c>
      <c r="K1021" s="3" t="s">
        <v>2062</v>
      </c>
      <c r="L1021" s="3"/>
      <c r="M1021" s="3" t="s">
        <v>2063</v>
      </c>
      <c r="N1021" s="3" t="s">
        <v>2064</v>
      </c>
    </row>
    <row r="1022" spans="1:14" x14ac:dyDescent="0.45">
      <c r="A1022" s="3" t="s">
        <v>509</v>
      </c>
      <c r="B1022" s="3" t="s">
        <v>75</v>
      </c>
      <c r="C1022" s="3" t="s">
        <v>1354</v>
      </c>
      <c r="D1022" s="3" t="s">
        <v>1355</v>
      </c>
      <c r="E1022" s="3" t="s">
        <v>1356</v>
      </c>
      <c r="F1022" s="79">
        <v>221</v>
      </c>
      <c r="G1022" s="3" t="s">
        <v>1221</v>
      </c>
      <c r="H1022" s="3" t="s">
        <v>2012</v>
      </c>
      <c r="I1022" s="3"/>
      <c r="J1022" s="3" t="s">
        <v>1990</v>
      </c>
      <c r="K1022" s="3" t="s">
        <v>2065</v>
      </c>
      <c r="L1022" s="3"/>
      <c r="M1022" s="3" t="s">
        <v>2066</v>
      </c>
      <c r="N1022" s="3" t="s">
        <v>2067</v>
      </c>
    </row>
    <row r="1023" spans="1:14" x14ac:dyDescent="0.45">
      <c r="A1023" s="3" t="s">
        <v>434</v>
      </c>
      <c r="B1023" s="3" t="s">
        <v>2068</v>
      </c>
      <c r="C1023" s="3" t="s">
        <v>1755</v>
      </c>
      <c r="D1023" s="3"/>
      <c r="E1023" s="3" t="s">
        <v>1220</v>
      </c>
      <c r="F1023" s="79">
        <v>326</v>
      </c>
      <c r="G1023" s="3" t="s">
        <v>1221</v>
      </c>
      <c r="H1023" s="3" t="s">
        <v>1989</v>
      </c>
      <c r="I1023" s="3"/>
      <c r="J1023" s="3" t="s">
        <v>1990</v>
      </c>
      <c r="K1023" s="3" t="s">
        <v>1996</v>
      </c>
      <c r="L1023" s="3"/>
      <c r="M1023" s="3" t="s">
        <v>1997</v>
      </c>
      <c r="N1023" s="3" t="s">
        <v>2069</v>
      </c>
    </row>
    <row r="1024" spans="1:14" x14ac:dyDescent="0.45">
      <c r="A1024" s="3" t="s">
        <v>434</v>
      </c>
      <c r="B1024" s="3" t="s">
        <v>2068</v>
      </c>
      <c r="C1024" s="3" t="s">
        <v>2070</v>
      </c>
      <c r="D1024" s="3"/>
      <c r="E1024" s="3" t="s">
        <v>2000</v>
      </c>
      <c r="F1024" s="79">
        <v>384</v>
      </c>
      <c r="G1024" s="3" t="s">
        <v>1221</v>
      </c>
      <c r="H1024" s="3" t="s">
        <v>1989</v>
      </c>
      <c r="I1024" s="3"/>
      <c r="J1024" s="3" t="s">
        <v>1990</v>
      </c>
      <c r="K1024" s="3" t="s">
        <v>2001</v>
      </c>
      <c r="L1024" s="3"/>
      <c r="M1024" s="3" t="s">
        <v>2002</v>
      </c>
      <c r="N1024" s="3" t="s">
        <v>2071</v>
      </c>
    </row>
    <row r="1025" spans="1:14" x14ac:dyDescent="0.45">
      <c r="A1025" s="3" t="s">
        <v>434</v>
      </c>
      <c r="B1025" s="3" t="s">
        <v>2068</v>
      </c>
      <c r="C1025" s="3" t="s">
        <v>2072</v>
      </c>
      <c r="D1025" s="3"/>
      <c r="E1025" s="3" t="s">
        <v>2006</v>
      </c>
      <c r="F1025" s="79">
        <v>494</v>
      </c>
      <c r="G1025" s="3" t="s">
        <v>1221</v>
      </c>
      <c r="H1025" s="3" t="s">
        <v>1989</v>
      </c>
      <c r="I1025" s="3"/>
      <c r="J1025" s="3" t="s">
        <v>1990</v>
      </c>
      <c r="K1025" s="3" t="s">
        <v>2007</v>
      </c>
      <c r="L1025" s="3"/>
      <c r="M1025" s="3" t="s">
        <v>2008</v>
      </c>
      <c r="N1025" s="3" t="s">
        <v>2073</v>
      </c>
    </row>
    <row r="1026" spans="1:14" x14ac:dyDescent="0.45">
      <c r="A1026" s="3" t="s">
        <v>434</v>
      </c>
      <c r="B1026" s="3" t="s">
        <v>2068</v>
      </c>
      <c r="C1026" s="3" t="s">
        <v>2074</v>
      </c>
      <c r="D1026" s="3"/>
      <c r="E1026" s="3" t="s">
        <v>1259</v>
      </c>
      <c r="F1026" s="79">
        <v>544</v>
      </c>
      <c r="G1026" s="3" t="s">
        <v>1221</v>
      </c>
      <c r="H1026" s="3" t="s">
        <v>1989</v>
      </c>
      <c r="I1026" s="3"/>
      <c r="J1026" s="3" t="s">
        <v>1990</v>
      </c>
      <c r="K1026" s="3" t="s">
        <v>2015</v>
      </c>
      <c r="L1026" s="3"/>
      <c r="M1026" s="3" t="s">
        <v>2016</v>
      </c>
      <c r="N1026" s="3" t="s">
        <v>2075</v>
      </c>
    </row>
    <row r="1027" spans="1:14" x14ac:dyDescent="0.45">
      <c r="A1027" s="3" t="s">
        <v>434</v>
      </c>
      <c r="B1027" s="3" t="s">
        <v>2068</v>
      </c>
      <c r="C1027" s="3" t="s">
        <v>1757</v>
      </c>
      <c r="D1027" s="3"/>
      <c r="E1027" s="3" t="s">
        <v>1231</v>
      </c>
      <c r="F1027" s="79">
        <v>568</v>
      </c>
      <c r="G1027" s="3" t="s">
        <v>1221</v>
      </c>
      <c r="H1027" s="3" t="s">
        <v>2012</v>
      </c>
      <c r="I1027" s="3"/>
      <c r="J1027" s="3" t="s">
        <v>1990</v>
      </c>
      <c r="K1027" s="3" t="s">
        <v>1996</v>
      </c>
      <c r="L1027" s="3"/>
      <c r="M1027" s="3" t="s">
        <v>1997</v>
      </c>
      <c r="N1027" s="3" t="s">
        <v>2069</v>
      </c>
    </row>
    <row r="1028" spans="1:14" x14ac:dyDescent="0.45">
      <c r="A1028" s="3" t="s">
        <v>434</v>
      </c>
      <c r="B1028" s="3" t="s">
        <v>2068</v>
      </c>
      <c r="C1028" s="3" t="s">
        <v>1759</v>
      </c>
      <c r="D1028" s="3"/>
      <c r="E1028" s="3" t="s">
        <v>1266</v>
      </c>
      <c r="F1028" s="79">
        <v>637</v>
      </c>
      <c r="G1028" s="3" t="s">
        <v>1221</v>
      </c>
      <c r="H1028" s="3" t="s">
        <v>2012</v>
      </c>
      <c r="I1028" s="3"/>
      <c r="J1028" s="3" t="s">
        <v>1990</v>
      </c>
      <c r="K1028" s="3" t="s">
        <v>2001</v>
      </c>
      <c r="L1028" s="3"/>
      <c r="M1028" s="3" t="s">
        <v>2002</v>
      </c>
      <c r="N1028" s="3" t="s">
        <v>2071</v>
      </c>
    </row>
    <row r="1029" spans="1:14" x14ac:dyDescent="0.45">
      <c r="A1029" s="3" t="s">
        <v>434</v>
      </c>
      <c r="B1029" s="3" t="s">
        <v>2068</v>
      </c>
      <c r="C1029" s="3" t="s">
        <v>1761</v>
      </c>
      <c r="D1029" s="3"/>
      <c r="E1029" s="3" t="s">
        <v>1273</v>
      </c>
      <c r="F1029" s="79">
        <v>787</v>
      </c>
      <c r="G1029" s="3" t="s">
        <v>1221</v>
      </c>
      <c r="H1029" s="3" t="s">
        <v>2012</v>
      </c>
      <c r="I1029" s="3"/>
      <c r="J1029" s="3" t="s">
        <v>1990</v>
      </c>
      <c r="K1029" s="3" t="s">
        <v>2007</v>
      </c>
      <c r="L1029" s="3"/>
      <c r="M1029" s="3" t="s">
        <v>2008</v>
      </c>
      <c r="N1029" s="3" t="s">
        <v>2073</v>
      </c>
    </row>
    <row r="1030" spans="1:14" x14ac:dyDescent="0.45">
      <c r="A1030" s="3" t="s">
        <v>434</v>
      </c>
      <c r="B1030" s="3" t="s">
        <v>2068</v>
      </c>
      <c r="C1030" s="3" t="s">
        <v>1763</v>
      </c>
      <c r="D1030" s="3"/>
      <c r="E1030" s="3" t="s">
        <v>1280</v>
      </c>
      <c r="F1030" s="79">
        <v>868</v>
      </c>
      <c r="G1030" s="3" t="s">
        <v>1221</v>
      </c>
      <c r="H1030" s="3" t="s">
        <v>2012</v>
      </c>
      <c r="I1030" s="3"/>
      <c r="J1030" s="3" t="s">
        <v>1990</v>
      </c>
      <c r="K1030" s="3" t="s">
        <v>2015</v>
      </c>
      <c r="L1030" s="3"/>
      <c r="M1030" s="3" t="s">
        <v>2016</v>
      </c>
      <c r="N1030" s="3" t="s">
        <v>2075</v>
      </c>
    </row>
    <row r="1031" spans="1:14" x14ac:dyDescent="0.45">
      <c r="A1031" s="3" t="s">
        <v>434</v>
      </c>
      <c r="B1031" s="3" t="s">
        <v>2068</v>
      </c>
      <c r="C1031" s="3" t="s">
        <v>1765</v>
      </c>
      <c r="D1031" s="3"/>
      <c r="E1031" s="3" t="s">
        <v>1238</v>
      </c>
      <c r="F1031" s="79">
        <v>901</v>
      </c>
      <c r="G1031" s="3" t="s">
        <v>1221</v>
      </c>
      <c r="H1031" s="3" t="s">
        <v>2012</v>
      </c>
      <c r="I1031" s="3"/>
      <c r="J1031" s="3" t="s">
        <v>1990</v>
      </c>
      <c r="K1031" s="3" t="s">
        <v>2018</v>
      </c>
      <c r="L1031" s="3"/>
      <c r="M1031" s="3" t="s">
        <v>2019</v>
      </c>
      <c r="N1031" s="3" t="s">
        <v>2076</v>
      </c>
    </row>
    <row r="1032" spans="1:14" x14ac:dyDescent="0.45">
      <c r="A1032" s="3" t="s">
        <v>434</v>
      </c>
      <c r="B1032" s="3" t="s">
        <v>2068</v>
      </c>
      <c r="C1032" s="3" t="s">
        <v>1767</v>
      </c>
      <c r="D1032" s="3"/>
      <c r="E1032" s="3" t="s">
        <v>1288</v>
      </c>
      <c r="F1032" s="79">
        <v>987</v>
      </c>
      <c r="G1032" s="3" t="s">
        <v>1221</v>
      </c>
      <c r="H1032" s="3" t="s">
        <v>2012</v>
      </c>
      <c r="I1032" s="3"/>
      <c r="J1032" s="3" t="s">
        <v>1990</v>
      </c>
      <c r="K1032" s="3" t="s">
        <v>2023</v>
      </c>
      <c r="L1032" s="3"/>
      <c r="M1032" s="3" t="s">
        <v>2024</v>
      </c>
      <c r="N1032" s="3" t="s">
        <v>2077</v>
      </c>
    </row>
    <row r="1033" spans="1:14" x14ac:dyDescent="0.45">
      <c r="A1033" s="3" t="s">
        <v>434</v>
      </c>
      <c r="B1033" s="3" t="s">
        <v>2068</v>
      </c>
      <c r="C1033" s="3" t="s">
        <v>1769</v>
      </c>
      <c r="D1033" s="3"/>
      <c r="E1033" s="3" t="s">
        <v>1295</v>
      </c>
      <c r="F1033" s="79">
        <v>1140</v>
      </c>
      <c r="G1033" s="3" t="s">
        <v>1221</v>
      </c>
      <c r="H1033" s="3" t="s">
        <v>2012</v>
      </c>
      <c r="I1033" s="3"/>
      <c r="J1033" s="3" t="s">
        <v>1990</v>
      </c>
      <c r="K1033" s="3" t="s">
        <v>2026</v>
      </c>
      <c r="L1033" s="3"/>
      <c r="M1033" s="3" t="s">
        <v>2027</v>
      </c>
      <c r="N1033" s="3" t="s">
        <v>2078</v>
      </c>
    </row>
    <row r="1034" spans="1:14" x14ac:dyDescent="0.45">
      <c r="A1034" s="3" t="s">
        <v>434</v>
      </c>
      <c r="B1034" s="3" t="s">
        <v>2068</v>
      </c>
      <c r="C1034" s="3" t="s">
        <v>1771</v>
      </c>
      <c r="D1034" s="3"/>
      <c r="E1034" s="3" t="s">
        <v>1302</v>
      </c>
      <c r="F1034" s="79">
        <v>1218</v>
      </c>
      <c r="G1034" s="3" t="s">
        <v>1221</v>
      </c>
      <c r="H1034" s="3" t="s">
        <v>2012</v>
      </c>
      <c r="I1034" s="3"/>
      <c r="J1034" s="3" t="s">
        <v>1990</v>
      </c>
      <c r="K1034" s="3" t="s">
        <v>2029</v>
      </c>
      <c r="L1034" s="3"/>
      <c r="M1034" s="3" t="s">
        <v>2030</v>
      </c>
      <c r="N1034" s="3" t="s">
        <v>2079</v>
      </c>
    </row>
    <row r="1035" spans="1:14" x14ac:dyDescent="0.45">
      <c r="A1035" s="3" t="s">
        <v>434</v>
      </c>
      <c r="B1035" s="3" t="s">
        <v>2068</v>
      </c>
      <c r="C1035" s="3" t="s">
        <v>1773</v>
      </c>
      <c r="D1035" s="3"/>
      <c r="E1035" s="3" t="s">
        <v>1245</v>
      </c>
      <c r="F1035" s="79">
        <v>1218</v>
      </c>
      <c r="G1035" s="3" t="s">
        <v>1221</v>
      </c>
      <c r="H1035" s="3" t="s">
        <v>2012</v>
      </c>
      <c r="I1035" s="3"/>
      <c r="J1035" s="3" t="s">
        <v>1990</v>
      </c>
      <c r="K1035" s="3" t="s">
        <v>2032</v>
      </c>
      <c r="L1035" s="3"/>
      <c r="M1035" s="3" t="s">
        <v>2033</v>
      </c>
      <c r="N1035" s="3" t="s">
        <v>2080</v>
      </c>
    </row>
    <row r="1036" spans="1:14" x14ac:dyDescent="0.45">
      <c r="A1036" s="3" t="s">
        <v>434</v>
      </c>
      <c r="B1036" s="3" t="s">
        <v>2068</v>
      </c>
      <c r="C1036" s="3" t="s">
        <v>1775</v>
      </c>
      <c r="D1036" s="3"/>
      <c r="E1036" s="3" t="s">
        <v>1310</v>
      </c>
      <c r="F1036" s="79">
        <v>1305</v>
      </c>
      <c r="G1036" s="3" t="s">
        <v>1221</v>
      </c>
      <c r="H1036" s="3" t="s">
        <v>2012</v>
      </c>
      <c r="I1036" s="3"/>
      <c r="J1036" s="3" t="s">
        <v>1990</v>
      </c>
      <c r="K1036" s="3" t="s">
        <v>2037</v>
      </c>
      <c r="L1036" s="3"/>
      <c r="M1036" s="3" t="s">
        <v>2038</v>
      </c>
      <c r="N1036" s="3" t="s">
        <v>2081</v>
      </c>
    </row>
    <row r="1037" spans="1:14" x14ac:dyDescent="0.45">
      <c r="A1037" s="3" t="s">
        <v>434</v>
      </c>
      <c r="B1037" s="3" t="s">
        <v>2068</v>
      </c>
      <c r="C1037" s="3" t="s">
        <v>1777</v>
      </c>
      <c r="D1037" s="3"/>
      <c r="E1037" s="3" t="s">
        <v>1317</v>
      </c>
      <c r="F1037" s="79">
        <v>1473</v>
      </c>
      <c r="G1037" s="3" t="s">
        <v>1221</v>
      </c>
      <c r="H1037" s="3" t="s">
        <v>2012</v>
      </c>
      <c r="I1037" s="3"/>
      <c r="J1037" s="3" t="s">
        <v>1990</v>
      </c>
      <c r="K1037" s="3" t="s">
        <v>2040</v>
      </c>
      <c r="L1037" s="3"/>
      <c r="M1037" s="3" t="s">
        <v>2041</v>
      </c>
      <c r="N1037" s="3" t="s">
        <v>2082</v>
      </c>
    </row>
    <row r="1038" spans="1:14" x14ac:dyDescent="0.45">
      <c r="A1038" s="3" t="s">
        <v>434</v>
      </c>
      <c r="B1038" s="3" t="s">
        <v>2068</v>
      </c>
      <c r="C1038" s="3" t="s">
        <v>1779</v>
      </c>
      <c r="D1038" s="3"/>
      <c r="E1038" s="3" t="s">
        <v>1324</v>
      </c>
      <c r="F1038" s="79">
        <v>1554</v>
      </c>
      <c r="G1038" s="3" t="s">
        <v>1221</v>
      </c>
      <c r="H1038" s="3" t="s">
        <v>2012</v>
      </c>
      <c r="I1038" s="3"/>
      <c r="J1038" s="3" t="s">
        <v>1990</v>
      </c>
      <c r="K1038" s="3" t="s">
        <v>2043</v>
      </c>
      <c r="L1038" s="3"/>
      <c r="M1038" s="3" t="s">
        <v>2044</v>
      </c>
      <c r="N1038" s="3" t="s">
        <v>2083</v>
      </c>
    </row>
    <row r="1039" spans="1:14" x14ac:dyDescent="0.45">
      <c r="A1039" s="3" t="s">
        <v>434</v>
      </c>
      <c r="B1039" s="3" t="s">
        <v>2068</v>
      </c>
      <c r="C1039" s="3" t="s">
        <v>1781</v>
      </c>
      <c r="D1039" s="3"/>
      <c r="E1039" s="3" t="s">
        <v>1252</v>
      </c>
      <c r="F1039" s="79">
        <v>1626</v>
      </c>
      <c r="G1039" s="3" t="s">
        <v>1221</v>
      </c>
      <c r="H1039" s="3" t="s">
        <v>2012</v>
      </c>
      <c r="I1039" s="3"/>
      <c r="J1039" s="3" t="s">
        <v>1990</v>
      </c>
      <c r="K1039" s="3" t="s">
        <v>2084</v>
      </c>
      <c r="L1039" s="3"/>
      <c r="M1039" s="3" t="s">
        <v>2085</v>
      </c>
      <c r="N1039" s="3" t="s">
        <v>2086</v>
      </c>
    </row>
    <row r="1040" spans="1:14" x14ac:dyDescent="0.45">
      <c r="A1040" s="3" t="s">
        <v>434</v>
      </c>
      <c r="B1040" s="3" t="s">
        <v>2068</v>
      </c>
      <c r="C1040" s="3" t="s">
        <v>1783</v>
      </c>
      <c r="D1040" s="3"/>
      <c r="E1040" s="3" t="s">
        <v>1332</v>
      </c>
      <c r="F1040" s="79">
        <v>1713</v>
      </c>
      <c r="G1040" s="3" t="s">
        <v>1221</v>
      </c>
      <c r="H1040" s="3" t="s">
        <v>2012</v>
      </c>
      <c r="I1040" s="3"/>
      <c r="J1040" s="3" t="s">
        <v>1990</v>
      </c>
      <c r="K1040" s="3" t="s">
        <v>2051</v>
      </c>
      <c r="L1040" s="3"/>
      <c r="M1040" s="3" t="s">
        <v>2052</v>
      </c>
      <c r="N1040" s="3" t="s">
        <v>2087</v>
      </c>
    </row>
    <row r="1041" spans="1:14" x14ac:dyDescent="0.45">
      <c r="A1041" s="3" t="s">
        <v>434</v>
      </c>
      <c r="B1041" s="3" t="s">
        <v>2068</v>
      </c>
      <c r="C1041" s="3" t="s">
        <v>1785</v>
      </c>
      <c r="D1041" s="3"/>
      <c r="E1041" s="3" t="s">
        <v>1339</v>
      </c>
      <c r="F1041" s="79">
        <v>1928</v>
      </c>
      <c r="G1041" s="3" t="s">
        <v>1221</v>
      </c>
      <c r="H1041" s="3" t="s">
        <v>2012</v>
      </c>
      <c r="I1041" s="3"/>
      <c r="J1041" s="3" t="s">
        <v>1990</v>
      </c>
      <c r="K1041" s="3" t="s">
        <v>2054</v>
      </c>
      <c r="L1041" s="3"/>
      <c r="M1041" s="3" t="s">
        <v>2055</v>
      </c>
      <c r="N1041" s="3" t="s">
        <v>2088</v>
      </c>
    </row>
    <row r="1042" spans="1:14" x14ac:dyDescent="0.45">
      <c r="A1042" s="3" t="s">
        <v>434</v>
      </c>
      <c r="B1042" s="3" t="s">
        <v>2068</v>
      </c>
      <c r="C1042" s="3" t="s">
        <v>1787</v>
      </c>
      <c r="D1042" s="3"/>
      <c r="E1042" s="3" t="s">
        <v>1346</v>
      </c>
      <c r="F1042" s="79">
        <v>2016</v>
      </c>
      <c r="G1042" s="3" t="s">
        <v>1221</v>
      </c>
      <c r="H1042" s="3" t="s">
        <v>2012</v>
      </c>
      <c r="I1042" s="3"/>
      <c r="J1042" s="3" t="s">
        <v>1990</v>
      </c>
      <c r="K1042" s="3" t="s">
        <v>2057</v>
      </c>
      <c r="L1042" s="3"/>
      <c r="M1042" s="3" t="s">
        <v>2058</v>
      </c>
      <c r="N1042" s="3" t="s">
        <v>2089</v>
      </c>
    </row>
    <row r="1043" spans="1:14" x14ac:dyDescent="0.45">
      <c r="A1043" s="3" t="s">
        <v>434</v>
      </c>
      <c r="B1043" s="3" t="s">
        <v>2068</v>
      </c>
      <c r="C1043" s="3" t="s">
        <v>1789</v>
      </c>
      <c r="D1043" s="3"/>
      <c r="E1043" s="3" t="s">
        <v>1256</v>
      </c>
      <c r="F1043" s="79">
        <v>2047</v>
      </c>
      <c r="G1043" s="3" t="s">
        <v>1221</v>
      </c>
      <c r="H1043" s="3" t="s">
        <v>2012</v>
      </c>
      <c r="I1043" s="3"/>
      <c r="J1043" s="3" t="s">
        <v>1990</v>
      </c>
      <c r="K1043" s="3" t="s">
        <v>2048</v>
      </c>
      <c r="L1043" s="3"/>
      <c r="M1043" s="3" t="s">
        <v>2049</v>
      </c>
      <c r="N1043" s="3" t="s">
        <v>2090</v>
      </c>
    </row>
    <row r="1044" spans="1:14" x14ac:dyDescent="0.45">
      <c r="A1044" s="3" t="s">
        <v>434</v>
      </c>
      <c r="B1044" s="3" t="s">
        <v>2068</v>
      </c>
      <c r="C1044" s="3" t="s">
        <v>1791</v>
      </c>
      <c r="D1044" s="3"/>
      <c r="E1044" s="3" t="s">
        <v>1352</v>
      </c>
      <c r="F1044" s="79">
        <v>2151</v>
      </c>
      <c r="G1044" s="3" t="s">
        <v>1221</v>
      </c>
      <c r="H1044" s="3" t="s">
        <v>2012</v>
      </c>
      <c r="I1044" s="3"/>
      <c r="J1044" s="3" t="s">
        <v>1990</v>
      </c>
      <c r="K1044" s="3" t="s">
        <v>2062</v>
      </c>
      <c r="L1044" s="3"/>
      <c r="M1044" s="3" t="s">
        <v>2063</v>
      </c>
      <c r="N1044" s="3" t="s">
        <v>2091</v>
      </c>
    </row>
    <row r="1045" spans="1:14" x14ac:dyDescent="0.45">
      <c r="A1045" s="3" t="s">
        <v>434</v>
      </c>
      <c r="B1045" s="3" t="s">
        <v>2068</v>
      </c>
      <c r="C1045" s="3" t="s">
        <v>1793</v>
      </c>
      <c r="D1045" s="3"/>
      <c r="E1045" s="3" t="s">
        <v>1356</v>
      </c>
      <c r="F1045" s="79">
        <v>2409</v>
      </c>
      <c r="G1045" s="3" t="s">
        <v>1221</v>
      </c>
      <c r="H1045" s="3" t="s">
        <v>2012</v>
      </c>
      <c r="I1045" s="3"/>
      <c r="J1045" s="3" t="s">
        <v>1990</v>
      </c>
      <c r="K1045" s="3" t="s">
        <v>2065</v>
      </c>
      <c r="L1045" s="3"/>
      <c r="M1045" s="3" t="s">
        <v>2066</v>
      </c>
      <c r="N1045" s="3" t="s">
        <v>2092</v>
      </c>
    </row>
    <row r="1046" spans="1:14" x14ac:dyDescent="0.45">
      <c r="A1046" s="3" t="s">
        <v>608</v>
      </c>
      <c r="B1046" s="3" t="s">
        <v>78</v>
      </c>
      <c r="C1046" s="3" t="s">
        <v>1986</v>
      </c>
      <c r="D1046" s="3" t="s">
        <v>1987</v>
      </c>
      <c r="E1046" s="3" t="s">
        <v>1988</v>
      </c>
      <c r="F1046" s="79">
        <v>0.40100000000000002</v>
      </c>
      <c r="G1046" s="3" t="s">
        <v>1221</v>
      </c>
      <c r="H1046" s="3" t="s">
        <v>1989</v>
      </c>
      <c r="I1046" s="3"/>
      <c r="J1046" s="3" t="s">
        <v>1990</v>
      </c>
      <c r="K1046" s="3" t="s">
        <v>1991</v>
      </c>
      <c r="L1046" s="3"/>
      <c r="M1046" s="3" t="s">
        <v>1992</v>
      </c>
      <c r="N1046" s="3" t="s">
        <v>2093</v>
      </c>
    </row>
    <row r="1047" spans="1:14" x14ac:dyDescent="0.45">
      <c r="A1047" s="3" t="s">
        <v>608</v>
      </c>
      <c r="B1047" s="3" t="s">
        <v>78</v>
      </c>
      <c r="C1047" s="3" t="s">
        <v>1994</v>
      </c>
      <c r="D1047" s="3" t="s">
        <v>1995</v>
      </c>
      <c r="E1047" s="3" t="s">
        <v>1220</v>
      </c>
      <c r="F1047" s="79">
        <v>-32</v>
      </c>
      <c r="G1047" s="3" t="s">
        <v>1221</v>
      </c>
      <c r="H1047" s="3" t="s">
        <v>1989</v>
      </c>
      <c r="I1047" s="3"/>
      <c r="J1047" s="3" t="s">
        <v>1990</v>
      </c>
      <c r="K1047" s="3" t="s">
        <v>1996</v>
      </c>
      <c r="L1047" s="3"/>
      <c r="M1047" s="3" t="s">
        <v>1997</v>
      </c>
      <c r="N1047" s="3" t="s">
        <v>2094</v>
      </c>
    </row>
    <row r="1048" spans="1:14" x14ac:dyDescent="0.45">
      <c r="A1048" s="3" t="s">
        <v>608</v>
      </c>
      <c r="B1048" s="3" t="s">
        <v>78</v>
      </c>
      <c r="C1048" s="3" t="s">
        <v>1999</v>
      </c>
      <c r="D1048" s="3" t="s">
        <v>1230</v>
      </c>
      <c r="E1048" s="3" t="s">
        <v>2000</v>
      </c>
      <c r="F1048" s="79">
        <v>-13</v>
      </c>
      <c r="G1048" s="3" t="s">
        <v>1221</v>
      </c>
      <c r="H1048" s="3" t="s">
        <v>1989</v>
      </c>
      <c r="I1048" s="3"/>
      <c r="J1048" s="3" t="s">
        <v>1990</v>
      </c>
      <c r="K1048" s="3" t="s">
        <v>2001</v>
      </c>
      <c r="L1048" s="3"/>
      <c r="M1048" s="3" t="s">
        <v>2002</v>
      </c>
      <c r="N1048" s="3" t="s">
        <v>2095</v>
      </c>
    </row>
    <row r="1049" spans="1:14" x14ac:dyDescent="0.45">
      <c r="A1049" s="3" t="s">
        <v>608</v>
      </c>
      <c r="B1049" s="3" t="s">
        <v>78</v>
      </c>
      <c r="C1049" s="3" t="s">
        <v>2004</v>
      </c>
      <c r="D1049" s="3" t="s">
        <v>2005</v>
      </c>
      <c r="E1049" s="3" t="s">
        <v>2006</v>
      </c>
      <c r="F1049" s="79">
        <v>53</v>
      </c>
      <c r="G1049" s="3" t="s">
        <v>1221</v>
      </c>
      <c r="H1049" s="3" t="s">
        <v>1989</v>
      </c>
      <c r="I1049" s="3"/>
      <c r="J1049" s="3" t="s">
        <v>1990</v>
      </c>
      <c r="K1049" s="3" t="s">
        <v>2007</v>
      </c>
      <c r="L1049" s="3"/>
      <c r="M1049" s="3" t="s">
        <v>2008</v>
      </c>
      <c r="N1049" s="3" t="s">
        <v>2096</v>
      </c>
    </row>
    <row r="1050" spans="1:14" x14ac:dyDescent="0.45">
      <c r="A1050" s="3" t="s">
        <v>608</v>
      </c>
      <c r="B1050" s="3" t="s">
        <v>78</v>
      </c>
      <c r="C1050" s="3" t="s">
        <v>2010</v>
      </c>
      <c r="D1050" s="3" t="s">
        <v>2011</v>
      </c>
      <c r="E1050" s="3" t="s">
        <v>1259</v>
      </c>
      <c r="F1050" s="79">
        <v>-21.123000000000001</v>
      </c>
      <c r="G1050" s="3" t="s">
        <v>1221</v>
      </c>
      <c r="H1050" s="3" t="s">
        <v>2012</v>
      </c>
      <c r="I1050" s="3"/>
      <c r="J1050" s="3" t="s">
        <v>1990</v>
      </c>
      <c r="K1050" s="3" t="s">
        <v>1991</v>
      </c>
      <c r="L1050" s="3"/>
      <c r="M1050" s="3" t="s">
        <v>1992</v>
      </c>
      <c r="N1050" s="3" t="s">
        <v>2093</v>
      </c>
    </row>
    <row r="1051" spans="1:14" x14ac:dyDescent="0.45">
      <c r="A1051" s="3" t="s">
        <v>608</v>
      </c>
      <c r="B1051" s="3" t="s">
        <v>78</v>
      </c>
      <c r="C1051" s="3" t="s">
        <v>1229</v>
      </c>
      <c r="D1051" s="3" t="s">
        <v>1230</v>
      </c>
      <c r="E1051" s="3" t="s">
        <v>1231</v>
      </c>
      <c r="F1051" s="79">
        <v>-17</v>
      </c>
      <c r="G1051" s="3" t="s">
        <v>1221</v>
      </c>
      <c r="H1051" s="3" t="s">
        <v>2012</v>
      </c>
      <c r="I1051" s="3"/>
      <c r="J1051" s="3" t="s">
        <v>1990</v>
      </c>
      <c r="K1051" s="3" t="s">
        <v>1996</v>
      </c>
      <c r="L1051" s="3"/>
      <c r="M1051" s="3" t="s">
        <v>1997</v>
      </c>
      <c r="N1051" s="3" t="s">
        <v>2094</v>
      </c>
    </row>
    <row r="1052" spans="1:14" x14ac:dyDescent="0.45">
      <c r="A1052" s="3" t="s">
        <v>608</v>
      </c>
      <c r="B1052" s="3" t="s">
        <v>78</v>
      </c>
      <c r="C1052" s="3" t="s">
        <v>2013</v>
      </c>
      <c r="D1052" s="3" t="s">
        <v>2014</v>
      </c>
      <c r="E1052" s="3" t="s">
        <v>1231</v>
      </c>
      <c r="F1052" s="79">
        <v>-34</v>
      </c>
      <c r="G1052" s="3" t="s">
        <v>1221</v>
      </c>
      <c r="H1052" s="3" t="s">
        <v>2012</v>
      </c>
      <c r="I1052" s="3"/>
      <c r="J1052" s="3" t="s">
        <v>1990</v>
      </c>
      <c r="K1052" s="3" t="s">
        <v>1996</v>
      </c>
      <c r="L1052" s="3"/>
      <c r="M1052" s="3" t="s">
        <v>1997</v>
      </c>
      <c r="N1052" s="3" t="s">
        <v>2094</v>
      </c>
    </row>
    <row r="1053" spans="1:14" x14ac:dyDescent="0.45">
      <c r="A1053" s="3" t="s">
        <v>608</v>
      </c>
      <c r="B1053" s="3" t="s">
        <v>78</v>
      </c>
      <c r="C1053" s="3" t="s">
        <v>1265</v>
      </c>
      <c r="D1053" s="3" t="s">
        <v>1237</v>
      </c>
      <c r="E1053" s="3" t="s">
        <v>1266</v>
      </c>
      <c r="F1053" s="79">
        <v>-50</v>
      </c>
      <c r="G1053" s="3" t="s">
        <v>1221</v>
      </c>
      <c r="H1053" s="3" t="s">
        <v>2012</v>
      </c>
      <c r="I1053" s="3"/>
      <c r="J1053" s="3" t="s">
        <v>1990</v>
      </c>
      <c r="K1053" s="3" t="s">
        <v>2001</v>
      </c>
      <c r="L1053" s="3"/>
      <c r="M1053" s="3" t="s">
        <v>2002</v>
      </c>
      <c r="N1053" s="3" t="s">
        <v>2095</v>
      </c>
    </row>
    <row r="1054" spans="1:14" x14ac:dyDescent="0.45">
      <c r="A1054" s="3" t="s">
        <v>608</v>
      </c>
      <c r="B1054" s="3" t="s">
        <v>78</v>
      </c>
      <c r="C1054" s="3" t="s">
        <v>1271</v>
      </c>
      <c r="D1054" s="3" t="s">
        <v>1272</v>
      </c>
      <c r="E1054" s="3" t="s">
        <v>1273</v>
      </c>
      <c r="F1054" s="79">
        <v>-30</v>
      </c>
      <c r="G1054" s="3" t="s">
        <v>1221</v>
      </c>
      <c r="H1054" s="3" t="s">
        <v>2012</v>
      </c>
      <c r="I1054" s="3"/>
      <c r="J1054" s="3" t="s">
        <v>1990</v>
      </c>
      <c r="K1054" s="3" t="s">
        <v>2007</v>
      </c>
      <c r="L1054" s="3"/>
      <c r="M1054" s="3" t="s">
        <v>2008</v>
      </c>
      <c r="N1054" s="3" t="s">
        <v>2096</v>
      </c>
    </row>
    <row r="1055" spans="1:14" x14ac:dyDescent="0.45">
      <c r="A1055" s="3" t="s">
        <v>608</v>
      </c>
      <c r="B1055" s="3" t="s">
        <v>78</v>
      </c>
      <c r="C1055" s="3" t="s">
        <v>1278</v>
      </c>
      <c r="D1055" s="3" t="s">
        <v>1279</v>
      </c>
      <c r="E1055" s="3" t="s">
        <v>1280</v>
      </c>
      <c r="F1055" s="79">
        <v>-80</v>
      </c>
      <c r="G1055" s="3" t="s">
        <v>1221</v>
      </c>
      <c r="H1055" s="3" t="s">
        <v>2012</v>
      </c>
      <c r="I1055" s="3"/>
      <c r="J1055" s="3" t="s">
        <v>1990</v>
      </c>
      <c r="K1055" s="3" t="s">
        <v>2015</v>
      </c>
      <c r="L1055" s="3"/>
      <c r="M1055" s="3" t="s">
        <v>2016</v>
      </c>
      <c r="N1055" s="3" t="s">
        <v>2097</v>
      </c>
    </row>
    <row r="1056" spans="1:14" x14ac:dyDescent="0.45">
      <c r="A1056" s="3" t="s">
        <v>608</v>
      </c>
      <c r="B1056" s="3" t="s">
        <v>78</v>
      </c>
      <c r="C1056" s="3" t="s">
        <v>1236</v>
      </c>
      <c r="D1056" s="3" t="s">
        <v>1237</v>
      </c>
      <c r="E1056" s="3" t="s">
        <v>1238</v>
      </c>
      <c r="F1056" s="79">
        <v>-189</v>
      </c>
      <c r="G1056" s="3" t="s">
        <v>1221</v>
      </c>
      <c r="H1056" s="3" t="s">
        <v>2012</v>
      </c>
      <c r="I1056" s="3"/>
      <c r="J1056" s="3" t="s">
        <v>1990</v>
      </c>
      <c r="K1056" s="3" t="s">
        <v>2018</v>
      </c>
      <c r="L1056" s="3"/>
      <c r="M1056" s="3" t="s">
        <v>2019</v>
      </c>
      <c r="N1056" s="3" t="s">
        <v>2098</v>
      </c>
    </row>
    <row r="1057" spans="1:14" x14ac:dyDescent="0.45">
      <c r="A1057" s="3" t="s">
        <v>608</v>
      </c>
      <c r="B1057" s="3" t="s">
        <v>78</v>
      </c>
      <c r="C1057" s="3" t="s">
        <v>2021</v>
      </c>
      <c r="D1057" s="3" t="s">
        <v>2022</v>
      </c>
      <c r="E1057" s="3" t="s">
        <v>1238</v>
      </c>
      <c r="F1057" s="79">
        <v>-29</v>
      </c>
      <c r="G1057" s="3" t="s">
        <v>1221</v>
      </c>
      <c r="H1057" s="3" t="s">
        <v>2012</v>
      </c>
      <c r="I1057" s="3"/>
      <c r="J1057" s="3" t="s">
        <v>1990</v>
      </c>
      <c r="K1057" s="3" t="s">
        <v>2018</v>
      </c>
      <c r="L1057" s="3"/>
      <c r="M1057" s="3" t="s">
        <v>2019</v>
      </c>
      <c r="N1057" s="3" t="s">
        <v>2098</v>
      </c>
    </row>
    <row r="1058" spans="1:14" x14ac:dyDescent="0.45">
      <c r="A1058" s="3" t="s">
        <v>608</v>
      </c>
      <c r="B1058" s="3" t="s">
        <v>78</v>
      </c>
      <c r="C1058" s="3" t="s">
        <v>1287</v>
      </c>
      <c r="D1058" s="3" t="s">
        <v>1244</v>
      </c>
      <c r="E1058" s="3" t="s">
        <v>1288</v>
      </c>
      <c r="F1058" s="79">
        <v>-65</v>
      </c>
      <c r="G1058" s="3" t="s">
        <v>1221</v>
      </c>
      <c r="H1058" s="3" t="s">
        <v>2012</v>
      </c>
      <c r="I1058" s="3"/>
      <c r="J1058" s="3" t="s">
        <v>1990</v>
      </c>
      <c r="K1058" s="3" t="s">
        <v>2023</v>
      </c>
      <c r="L1058" s="3"/>
      <c r="M1058" s="3" t="s">
        <v>2024</v>
      </c>
      <c r="N1058" s="3" t="s">
        <v>2099</v>
      </c>
    </row>
    <row r="1059" spans="1:14" x14ac:dyDescent="0.45">
      <c r="A1059" s="3" t="s">
        <v>608</v>
      </c>
      <c r="B1059" s="3" t="s">
        <v>78</v>
      </c>
      <c r="C1059" s="3" t="s">
        <v>1293</v>
      </c>
      <c r="D1059" s="3" t="s">
        <v>1294</v>
      </c>
      <c r="E1059" s="3" t="s">
        <v>1295</v>
      </c>
      <c r="F1059" s="79">
        <v>39</v>
      </c>
      <c r="G1059" s="3" t="s">
        <v>1221</v>
      </c>
      <c r="H1059" s="3" t="s">
        <v>2012</v>
      </c>
      <c r="I1059" s="3"/>
      <c r="J1059" s="3" t="s">
        <v>1990</v>
      </c>
      <c r="K1059" s="3" t="s">
        <v>2026</v>
      </c>
      <c r="L1059" s="3"/>
      <c r="M1059" s="3" t="s">
        <v>2027</v>
      </c>
      <c r="N1059" s="3" t="s">
        <v>2100</v>
      </c>
    </row>
    <row r="1060" spans="1:14" x14ac:dyDescent="0.45">
      <c r="A1060" s="3" t="s">
        <v>608</v>
      </c>
      <c r="B1060" s="3" t="s">
        <v>78</v>
      </c>
      <c r="C1060" s="3" t="s">
        <v>1300</v>
      </c>
      <c r="D1060" s="3" t="s">
        <v>1301</v>
      </c>
      <c r="E1060" s="3" t="s">
        <v>1302</v>
      </c>
      <c r="F1060" s="79">
        <v>37</v>
      </c>
      <c r="G1060" s="3" t="s">
        <v>1221</v>
      </c>
      <c r="H1060" s="3" t="s">
        <v>2012</v>
      </c>
      <c r="I1060" s="3"/>
      <c r="J1060" s="3" t="s">
        <v>1990</v>
      </c>
      <c r="K1060" s="3" t="s">
        <v>2029</v>
      </c>
      <c r="L1060" s="3"/>
      <c r="M1060" s="3" t="s">
        <v>2030</v>
      </c>
      <c r="N1060" s="3" t="s">
        <v>2101</v>
      </c>
    </row>
    <row r="1061" spans="1:14" x14ac:dyDescent="0.45">
      <c r="A1061" s="3" t="s">
        <v>608</v>
      </c>
      <c r="B1061" s="3" t="s">
        <v>78</v>
      </c>
      <c r="C1061" s="3" t="s">
        <v>1243</v>
      </c>
      <c r="D1061" s="3" t="s">
        <v>1244</v>
      </c>
      <c r="E1061" s="3" t="s">
        <v>1245</v>
      </c>
      <c r="F1061" s="79">
        <v>93</v>
      </c>
      <c r="G1061" s="3" t="s">
        <v>1221</v>
      </c>
      <c r="H1061" s="3" t="s">
        <v>2012</v>
      </c>
      <c r="I1061" s="3"/>
      <c r="J1061" s="3" t="s">
        <v>1990</v>
      </c>
      <c r="K1061" s="3" t="s">
        <v>2032</v>
      </c>
      <c r="L1061" s="3"/>
      <c r="M1061" s="3" t="s">
        <v>2033</v>
      </c>
      <c r="N1061" s="3" t="s">
        <v>2102</v>
      </c>
    </row>
    <row r="1062" spans="1:14" x14ac:dyDescent="0.45">
      <c r="A1062" s="3" t="s">
        <v>608</v>
      </c>
      <c r="B1062" s="3" t="s">
        <v>78</v>
      </c>
      <c r="C1062" s="3" t="s">
        <v>2035</v>
      </c>
      <c r="D1062" s="3" t="s">
        <v>2036</v>
      </c>
      <c r="E1062" s="3" t="s">
        <v>1245</v>
      </c>
      <c r="F1062" s="79">
        <v>81</v>
      </c>
      <c r="G1062" s="3" t="s">
        <v>1221</v>
      </c>
      <c r="H1062" s="3" t="s">
        <v>2012</v>
      </c>
      <c r="I1062" s="3"/>
      <c r="J1062" s="3" t="s">
        <v>1990</v>
      </c>
      <c r="K1062" s="3" t="s">
        <v>2032</v>
      </c>
      <c r="L1062" s="3"/>
      <c r="M1062" s="3" t="s">
        <v>2033</v>
      </c>
      <c r="N1062" s="3" t="s">
        <v>2102</v>
      </c>
    </row>
    <row r="1063" spans="1:14" x14ac:dyDescent="0.45">
      <c r="A1063" s="3" t="s">
        <v>608</v>
      </c>
      <c r="B1063" s="3" t="s">
        <v>78</v>
      </c>
      <c r="C1063" s="3" t="s">
        <v>1309</v>
      </c>
      <c r="D1063" s="3" t="s">
        <v>1251</v>
      </c>
      <c r="E1063" s="3" t="s">
        <v>1310</v>
      </c>
      <c r="F1063" s="79">
        <v>-33</v>
      </c>
      <c r="G1063" s="3" t="s">
        <v>1221</v>
      </c>
      <c r="H1063" s="3" t="s">
        <v>2012</v>
      </c>
      <c r="I1063" s="3"/>
      <c r="J1063" s="3" t="s">
        <v>1990</v>
      </c>
      <c r="K1063" s="3" t="s">
        <v>2037</v>
      </c>
      <c r="L1063" s="3"/>
      <c r="M1063" s="3" t="s">
        <v>2038</v>
      </c>
      <c r="N1063" s="3" t="s">
        <v>2103</v>
      </c>
    </row>
    <row r="1064" spans="1:14" x14ac:dyDescent="0.45">
      <c r="A1064" s="3" t="s">
        <v>608</v>
      </c>
      <c r="B1064" s="3" t="s">
        <v>78</v>
      </c>
      <c r="C1064" s="3" t="s">
        <v>1315</v>
      </c>
      <c r="D1064" s="3" t="s">
        <v>1316</v>
      </c>
      <c r="E1064" s="3" t="s">
        <v>1317</v>
      </c>
      <c r="F1064" s="79">
        <v>108</v>
      </c>
      <c r="G1064" s="3" t="s">
        <v>1221</v>
      </c>
      <c r="H1064" s="3" t="s">
        <v>2012</v>
      </c>
      <c r="I1064" s="3"/>
      <c r="J1064" s="3" t="s">
        <v>1990</v>
      </c>
      <c r="K1064" s="3" t="s">
        <v>2040</v>
      </c>
      <c r="L1064" s="3"/>
      <c r="M1064" s="3" t="s">
        <v>2041</v>
      </c>
      <c r="N1064" s="3" t="s">
        <v>2104</v>
      </c>
    </row>
    <row r="1065" spans="1:14" x14ac:dyDescent="0.45">
      <c r="A1065" s="3" t="s">
        <v>608</v>
      </c>
      <c r="B1065" s="3" t="s">
        <v>78</v>
      </c>
      <c r="C1065" s="3" t="s">
        <v>1322</v>
      </c>
      <c r="D1065" s="3" t="s">
        <v>1323</v>
      </c>
      <c r="E1065" s="3" t="s">
        <v>1324</v>
      </c>
      <c r="F1065" s="79">
        <v>97</v>
      </c>
      <c r="G1065" s="3" t="s">
        <v>1221</v>
      </c>
      <c r="H1065" s="3" t="s">
        <v>2012</v>
      </c>
      <c r="I1065" s="3"/>
      <c r="J1065" s="3" t="s">
        <v>1990</v>
      </c>
      <c r="K1065" s="3" t="s">
        <v>2043</v>
      </c>
      <c r="L1065" s="3"/>
      <c r="M1065" s="3" t="s">
        <v>2044</v>
      </c>
      <c r="N1065" s="3" t="s">
        <v>2105</v>
      </c>
    </row>
    <row r="1066" spans="1:14" x14ac:dyDescent="0.45">
      <c r="A1066" s="3" t="s">
        <v>608</v>
      </c>
      <c r="B1066" s="3" t="s">
        <v>78</v>
      </c>
      <c r="C1066" s="3" t="s">
        <v>1250</v>
      </c>
      <c r="D1066" s="3" t="s">
        <v>1251</v>
      </c>
      <c r="E1066" s="3" t="s">
        <v>1252</v>
      </c>
      <c r="F1066" s="79">
        <v>306</v>
      </c>
      <c r="G1066" s="3" t="s">
        <v>1221</v>
      </c>
      <c r="H1066" s="3" t="s">
        <v>2012</v>
      </c>
      <c r="I1066" s="3"/>
      <c r="J1066" s="3" t="s">
        <v>1990</v>
      </c>
      <c r="K1066" s="3" t="s">
        <v>2084</v>
      </c>
      <c r="L1066" s="3"/>
      <c r="M1066" s="3" t="s">
        <v>2085</v>
      </c>
      <c r="N1066" s="3" t="s">
        <v>2106</v>
      </c>
    </row>
    <row r="1067" spans="1:14" x14ac:dyDescent="0.45">
      <c r="A1067" s="3" t="s">
        <v>608</v>
      </c>
      <c r="B1067" s="3" t="s">
        <v>78</v>
      </c>
      <c r="C1067" s="3" t="s">
        <v>2046</v>
      </c>
      <c r="D1067" s="3" t="s">
        <v>2047</v>
      </c>
      <c r="E1067" s="3" t="s">
        <v>1252</v>
      </c>
      <c r="F1067" s="79">
        <v>134</v>
      </c>
      <c r="G1067" s="3" t="s">
        <v>1221</v>
      </c>
      <c r="H1067" s="3" t="s">
        <v>2012</v>
      </c>
      <c r="I1067" s="3"/>
      <c r="J1067" s="3" t="s">
        <v>1990</v>
      </c>
      <c r="K1067" s="3" t="s">
        <v>2084</v>
      </c>
      <c r="L1067" s="3"/>
      <c r="M1067" s="3" t="s">
        <v>2085</v>
      </c>
      <c r="N1067" s="3" t="s">
        <v>2106</v>
      </c>
    </row>
    <row r="1068" spans="1:14" x14ac:dyDescent="0.45">
      <c r="A1068" s="3" t="s">
        <v>608</v>
      </c>
      <c r="B1068" s="3" t="s">
        <v>78</v>
      </c>
      <c r="C1068" s="3" t="s">
        <v>1331</v>
      </c>
      <c r="D1068" s="3" t="s">
        <v>1255</v>
      </c>
      <c r="E1068" s="3" t="s">
        <v>1332</v>
      </c>
      <c r="F1068" s="79">
        <v>69</v>
      </c>
      <c r="G1068" s="3" t="s">
        <v>1221</v>
      </c>
      <c r="H1068" s="3" t="s">
        <v>2012</v>
      </c>
      <c r="I1068" s="3"/>
      <c r="J1068" s="3" t="s">
        <v>1990</v>
      </c>
      <c r="K1068" s="3" t="s">
        <v>2051</v>
      </c>
      <c r="L1068" s="3"/>
      <c r="M1068" s="3" t="s">
        <v>2052</v>
      </c>
      <c r="N1068" s="3" t="s">
        <v>2107</v>
      </c>
    </row>
    <row r="1069" spans="1:14" x14ac:dyDescent="0.45">
      <c r="A1069" s="3" t="s">
        <v>608</v>
      </c>
      <c r="B1069" s="3" t="s">
        <v>78</v>
      </c>
      <c r="C1069" s="3" t="s">
        <v>1337</v>
      </c>
      <c r="D1069" s="3" t="s">
        <v>1338</v>
      </c>
      <c r="E1069" s="3" t="s">
        <v>1339</v>
      </c>
      <c r="F1069" s="79">
        <v>208</v>
      </c>
      <c r="G1069" s="3" t="s">
        <v>1221</v>
      </c>
      <c r="H1069" s="3" t="s">
        <v>2012</v>
      </c>
      <c r="I1069" s="3"/>
      <c r="J1069" s="3" t="s">
        <v>1990</v>
      </c>
      <c r="K1069" s="3" t="s">
        <v>2054</v>
      </c>
      <c r="L1069" s="3"/>
      <c r="M1069" s="3" t="s">
        <v>2055</v>
      </c>
      <c r="N1069" s="3" t="s">
        <v>2108</v>
      </c>
    </row>
    <row r="1070" spans="1:14" x14ac:dyDescent="0.45">
      <c r="A1070" s="3" t="s">
        <v>608</v>
      </c>
      <c r="B1070" s="3" t="s">
        <v>78</v>
      </c>
      <c r="C1070" s="3" t="s">
        <v>1344</v>
      </c>
      <c r="D1070" s="3" t="s">
        <v>1345</v>
      </c>
      <c r="E1070" s="3" t="s">
        <v>1346</v>
      </c>
      <c r="F1070" s="79">
        <v>153</v>
      </c>
      <c r="G1070" s="3" t="s">
        <v>1221</v>
      </c>
      <c r="H1070" s="3" t="s">
        <v>2012</v>
      </c>
      <c r="I1070" s="3"/>
      <c r="J1070" s="3" t="s">
        <v>1990</v>
      </c>
      <c r="K1070" s="3" t="s">
        <v>2057</v>
      </c>
      <c r="L1070" s="3"/>
      <c r="M1070" s="3" t="s">
        <v>2058</v>
      </c>
      <c r="N1070" s="3" t="s">
        <v>2109</v>
      </c>
    </row>
    <row r="1071" spans="1:14" x14ac:dyDescent="0.45">
      <c r="A1071" s="3" t="s">
        <v>608</v>
      </c>
      <c r="B1071" s="3" t="s">
        <v>78</v>
      </c>
      <c r="C1071" s="3" t="s">
        <v>1254</v>
      </c>
      <c r="D1071" s="3" t="s">
        <v>1255</v>
      </c>
      <c r="E1071" s="3" t="s">
        <v>1256</v>
      </c>
      <c r="F1071" s="79">
        <v>608</v>
      </c>
      <c r="G1071" s="3" t="s">
        <v>1221</v>
      </c>
      <c r="H1071" s="3" t="s">
        <v>2012</v>
      </c>
      <c r="I1071" s="3"/>
      <c r="J1071" s="3" t="s">
        <v>1990</v>
      </c>
      <c r="K1071" s="3" t="s">
        <v>2048</v>
      </c>
      <c r="L1071" s="3"/>
      <c r="M1071" s="3" t="s">
        <v>2049</v>
      </c>
      <c r="N1071" s="3" t="s">
        <v>2110</v>
      </c>
    </row>
    <row r="1072" spans="1:14" x14ac:dyDescent="0.45">
      <c r="A1072" s="3" t="s">
        <v>608</v>
      </c>
      <c r="B1072" s="3" t="s">
        <v>78</v>
      </c>
      <c r="C1072" s="3" t="s">
        <v>2060</v>
      </c>
      <c r="D1072" s="3" t="s">
        <v>2061</v>
      </c>
      <c r="E1072" s="3" t="s">
        <v>1256</v>
      </c>
      <c r="F1072" s="79">
        <v>178</v>
      </c>
      <c r="G1072" s="3" t="s">
        <v>1221</v>
      </c>
      <c r="H1072" s="3" t="s">
        <v>2012</v>
      </c>
      <c r="I1072" s="3"/>
      <c r="J1072" s="3" t="s">
        <v>1990</v>
      </c>
      <c r="K1072" s="3" t="s">
        <v>2048</v>
      </c>
      <c r="L1072" s="3"/>
      <c r="M1072" s="3" t="s">
        <v>2049</v>
      </c>
      <c r="N1072" s="3" t="s">
        <v>2110</v>
      </c>
    </row>
    <row r="1073" spans="1:14" x14ac:dyDescent="0.45">
      <c r="A1073" s="3" t="s">
        <v>608</v>
      </c>
      <c r="B1073" s="3" t="s">
        <v>78</v>
      </c>
      <c r="C1073" s="3" t="s">
        <v>1350</v>
      </c>
      <c r="D1073" s="3" t="s">
        <v>1351</v>
      </c>
      <c r="E1073" s="3" t="s">
        <v>1352</v>
      </c>
      <c r="F1073" s="79">
        <v>115</v>
      </c>
      <c r="G1073" s="3" t="s">
        <v>1221</v>
      </c>
      <c r="H1073" s="3" t="s">
        <v>2012</v>
      </c>
      <c r="I1073" s="3"/>
      <c r="J1073" s="3" t="s">
        <v>1990</v>
      </c>
      <c r="K1073" s="3" t="s">
        <v>2062</v>
      </c>
      <c r="L1073" s="3"/>
      <c r="M1073" s="3" t="s">
        <v>2063</v>
      </c>
      <c r="N1073" s="3" t="s">
        <v>2111</v>
      </c>
    </row>
    <row r="1074" spans="1:14" x14ac:dyDescent="0.45">
      <c r="A1074" s="3" t="s">
        <v>608</v>
      </c>
      <c r="B1074" s="3" t="s">
        <v>78</v>
      </c>
      <c r="C1074" s="3" t="s">
        <v>1354</v>
      </c>
      <c r="D1074" s="3" t="s">
        <v>1355</v>
      </c>
      <c r="E1074" s="3" t="s">
        <v>1356</v>
      </c>
      <c r="F1074" s="79">
        <v>130</v>
      </c>
      <c r="G1074" s="3" t="s">
        <v>1221</v>
      </c>
      <c r="H1074" s="3" t="s">
        <v>2012</v>
      </c>
      <c r="I1074" s="3"/>
      <c r="J1074" s="3" t="s">
        <v>1990</v>
      </c>
      <c r="K1074" s="3" t="s">
        <v>2065</v>
      </c>
      <c r="L1074" s="3"/>
      <c r="M1074" s="3" t="s">
        <v>2066</v>
      </c>
      <c r="N1074" s="3" t="s">
        <v>2112</v>
      </c>
    </row>
    <row r="1075" spans="1:14" x14ac:dyDescent="0.45">
      <c r="A1075" s="3" t="s">
        <v>361</v>
      </c>
      <c r="B1075" s="3" t="s">
        <v>2113</v>
      </c>
      <c r="C1075" s="3" t="s">
        <v>1986</v>
      </c>
      <c r="D1075" s="3" t="s">
        <v>1987</v>
      </c>
      <c r="E1075" s="3" t="s">
        <v>1988</v>
      </c>
      <c r="F1075" s="79">
        <v>7.4</v>
      </c>
      <c r="G1075" s="3" t="s">
        <v>2114</v>
      </c>
      <c r="H1075" s="3" t="s">
        <v>1989</v>
      </c>
      <c r="I1075" s="3"/>
      <c r="J1075" s="3" t="s">
        <v>1990</v>
      </c>
      <c r="K1075" s="3" t="s">
        <v>1991</v>
      </c>
      <c r="L1075" s="3"/>
      <c r="M1075" s="3" t="s">
        <v>1992</v>
      </c>
      <c r="N1075" s="3" t="s">
        <v>2115</v>
      </c>
    </row>
    <row r="1076" spans="1:14" x14ac:dyDescent="0.45">
      <c r="A1076" s="3" t="s">
        <v>361</v>
      </c>
      <c r="B1076" s="3" t="s">
        <v>2113</v>
      </c>
      <c r="C1076" s="3" t="s">
        <v>1994</v>
      </c>
      <c r="D1076" s="3" t="s">
        <v>1995</v>
      </c>
      <c r="E1076" s="3" t="s">
        <v>1220</v>
      </c>
      <c r="F1076" s="79">
        <v>7.6</v>
      </c>
      <c r="G1076" s="3" t="s">
        <v>2114</v>
      </c>
      <c r="H1076" s="3" t="s">
        <v>1989</v>
      </c>
      <c r="I1076" s="3"/>
      <c r="J1076" s="3" t="s">
        <v>1990</v>
      </c>
      <c r="K1076" s="3" t="s">
        <v>1996</v>
      </c>
      <c r="L1076" s="3"/>
      <c r="M1076" s="3" t="s">
        <v>1997</v>
      </c>
      <c r="N1076" s="3" t="s">
        <v>2116</v>
      </c>
    </row>
    <row r="1077" spans="1:14" x14ac:dyDescent="0.45">
      <c r="A1077" s="3" t="s">
        <v>361</v>
      </c>
      <c r="B1077" s="3" t="s">
        <v>2113</v>
      </c>
      <c r="C1077" s="3" t="s">
        <v>1999</v>
      </c>
      <c r="D1077" s="3" t="s">
        <v>1230</v>
      </c>
      <c r="E1077" s="3" t="s">
        <v>2000</v>
      </c>
      <c r="F1077" s="79">
        <v>9</v>
      </c>
      <c r="G1077" s="3" t="s">
        <v>2114</v>
      </c>
      <c r="H1077" s="3" t="s">
        <v>1989</v>
      </c>
      <c r="I1077" s="3"/>
      <c r="J1077" s="3" t="s">
        <v>1990</v>
      </c>
      <c r="K1077" s="3" t="s">
        <v>2001</v>
      </c>
      <c r="L1077" s="3"/>
      <c r="M1077" s="3" t="s">
        <v>2002</v>
      </c>
      <c r="N1077" s="3" t="s">
        <v>2117</v>
      </c>
    </row>
    <row r="1078" spans="1:14" x14ac:dyDescent="0.45">
      <c r="A1078" s="3" t="s">
        <v>361</v>
      </c>
      <c r="B1078" s="3" t="s">
        <v>2113</v>
      </c>
      <c r="C1078" s="3" t="s">
        <v>2004</v>
      </c>
      <c r="D1078" s="3" t="s">
        <v>2005</v>
      </c>
      <c r="E1078" s="3" t="s">
        <v>2006</v>
      </c>
      <c r="F1078" s="79">
        <v>14.4</v>
      </c>
      <c r="G1078" s="3" t="s">
        <v>2114</v>
      </c>
      <c r="H1078" s="3" t="s">
        <v>1989</v>
      </c>
      <c r="I1078" s="3"/>
      <c r="J1078" s="3" t="s">
        <v>1990</v>
      </c>
      <c r="K1078" s="3" t="s">
        <v>2007</v>
      </c>
      <c r="L1078" s="3"/>
      <c r="M1078" s="3" t="s">
        <v>2008</v>
      </c>
      <c r="N1078" s="3" t="s">
        <v>2118</v>
      </c>
    </row>
    <row r="1079" spans="1:14" x14ac:dyDescent="0.45">
      <c r="A1079" s="3" t="s">
        <v>361</v>
      </c>
      <c r="B1079" s="3" t="s">
        <v>2113</v>
      </c>
      <c r="C1079" s="3" t="s">
        <v>2010</v>
      </c>
      <c r="D1079" s="3" t="s">
        <v>2011</v>
      </c>
      <c r="E1079" s="3" t="s">
        <v>1259</v>
      </c>
      <c r="F1079" s="79">
        <v>16.5</v>
      </c>
      <c r="G1079" s="3" t="s">
        <v>2114</v>
      </c>
      <c r="H1079" s="3" t="s">
        <v>2012</v>
      </c>
      <c r="I1079" s="3"/>
      <c r="J1079" s="3" t="s">
        <v>1990</v>
      </c>
      <c r="K1079" s="3" t="s">
        <v>1991</v>
      </c>
      <c r="L1079" s="3"/>
      <c r="M1079" s="3" t="s">
        <v>1992</v>
      </c>
      <c r="N1079" s="3" t="s">
        <v>2115</v>
      </c>
    </row>
    <row r="1080" spans="1:14" x14ac:dyDescent="0.45">
      <c r="A1080" s="3" t="s">
        <v>361</v>
      </c>
      <c r="B1080" s="3" t="s">
        <v>2113</v>
      </c>
      <c r="C1080" s="3" t="s">
        <v>1229</v>
      </c>
      <c r="D1080" s="3" t="s">
        <v>1230</v>
      </c>
      <c r="E1080" s="3" t="s">
        <v>1231</v>
      </c>
      <c r="F1080" s="79">
        <v>57</v>
      </c>
      <c r="G1080" s="3" t="s">
        <v>2114</v>
      </c>
      <c r="H1080" s="3" t="s">
        <v>2012</v>
      </c>
      <c r="I1080" s="3"/>
      <c r="J1080" s="3" t="s">
        <v>1990</v>
      </c>
      <c r="K1080" s="3" t="s">
        <v>1996</v>
      </c>
      <c r="L1080" s="3"/>
      <c r="M1080" s="3" t="s">
        <v>1997</v>
      </c>
      <c r="N1080" s="3" t="s">
        <v>2116</v>
      </c>
    </row>
    <row r="1081" spans="1:14" x14ac:dyDescent="0.45">
      <c r="A1081" s="3" t="s">
        <v>361</v>
      </c>
      <c r="B1081" s="3" t="s">
        <v>2113</v>
      </c>
      <c r="C1081" s="3" t="s">
        <v>2013</v>
      </c>
      <c r="D1081" s="3" t="s">
        <v>2014</v>
      </c>
      <c r="E1081" s="3" t="s">
        <v>1231</v>
      </c>
      <c r="F1081" s="79">
        <v>17.100000000000001</v>
      </c>
      <c r="G1081" s="3" t="s">
        <v>2114</v>
      </c>
      <c r="H1081" s="3" t="s">
        <v>2012</v>
      </c>
      <c r="I1081" s="3"/>
      <c r="J1081" s="3" t="s">
        <v>1990</v>
      </c>
      <c r="K1081" s="3" t="s">
        <v>1996</v>
      </c>
      <c r="L1081" s="3"/>
      <c r="M1081" s="3" t="s">
        <v>1997</v>
      </c>
      <c r="N1081" s="3" t="s">
        <v>2116</v>
      </c>
    </row>
    <row r="1082" spans="1:14" x14ac:dyDescent="0.45">
      <c r="A1082" s="3" t="s">
        <v>361</v>
      </c>
      <c r="B1082" s="3" t="s">
        <v>2113</v>
      </c>
      <c r="C1082" s="3" t="s">
        <v>1265</v>
      </c>
      <c r="D1082" s="3" t="s">
        <v>1237</v>
      </c>
      <c r="E1082" s="3" t="s">
        <v>1266</v>
      </c>
      <c r="F1082" s="79">
        <v>17.8</v>
      </c>
      <c r="G1082" s="3" t="s">
        <v>2114</v>
      </c>
      <c r="H1082" s="3" t="s">
        <v>2012</v>
      </c>
      <c r="I1082" s="3"/>
      <c r="J1082" s="3" t="s">
        <v>1990</v>
      </c>
      <c r="K1082" s="3" t="s">
        <v>2001</v>
      </c>
      <c r="L1082" s="3"/>
      <c r="M1082" s="3" t="s">
        <v>2002</v>
      </c>
      <c r="N1082" s="3" t="s">
        <v>2117</v>
      </c>
    </row>
    <row r="1083" spans="1:14" x14ac:dyDescent="0.45">
      <c r="A1083" s="3" t="s">
        <v>361</v>
      </c>
      <c r="B1083" s="3" t="s">
        <v>2113</v>
      </c>
      <c r="C1083" s="3" t="s">
        <v>1271</v>
      </c>
      <c r="D1083" s="3" t="s">
        <v>1272</v>
      </c>
      <c r="E1083" s="3" t="s">
        <v>1273</v>
      </c>
      <c r="F1083" s="79">
        <v>23.3</v>
      </c>
      <c r="G1083" s="3" t="s">
        <v>2114</v>
      </c>
      <c r="H1083" s="3" t="s">
        <v>2012</v>
      </c>
      <c r="I1083" s="3"/>
      <c r="J1083" s="3" t="s">
        <v>1990</v>
      </c>
      <c r="K1083" s="3" t="s">
        <v>2007</v>
      </c>
      <c r="L1083" s="3"/>
      <c r="M1083" s="3" t="s">
        <v>2008</v>
      </c>
      <c r="N1083" s="3" t="s">
        <v>2118</v>
      </c>
    </row>
    <row r="1084" spans="1:14" x14ac:dyDescent="0.45">
      <c r="A1084" s="3" t="s">
        <v>361</v>
      </c>
      <c r="B1084" s="3" t="s">
        <v>2113</v>
      </c>
      <c r="C1084" s="3" t="s">
        <v>1278</v>
      </c>
      <c r="D1084" s="3" t="s">
        <v>1279</v>
      </c>
      <c r="E1084" s="3" t="s">
        <v>1280</v>
      </c>
      <c r="F1084" s="79">
        <v>25.2</v>
      </c>
      <c r="G1084" s="3" t="s">
        <v>2114</v>
      </c>
      <c r="H1084" s="3" t="s">
        <v>2012</v>
      </c>
      <c r="I1084" s="3"/>
      <c r="J1084" s="3" t="s">
        <v>1990</v>
      </c>
      <c r="K1084" s="3" t="s">
        <v>2015</v>
      </c>
      <c r="L1084" s="3"/>
      <c r="M1084" s="3" t="s">
        <v>2016</v>
      </c>
      <c r="N1084" s="3" t="s">
        <v>2119</v>
      </c>
    </row>
    <row r="1085" spans="1:14" x14ac:dyDescent="0.45">
      <c r="A1085" s="3" t="s">
        <v>361</v>
      </c>
      <c r="B1085" s="3" t="s">
        <v>2113</v>
      </c>
      <c r="C1085" s="3" t="s">
        <v>1236</v>
      </c>
      <c r="D1085" s="3" t="s">
        <v>1237</v>
      </c>
      <c r="E1085" s="3" t="s">
        <v>1238</v>
      </c>
      <c r="F1085" s="79">
        <v>91.7</v>
      </c>
      <c r="G1085" s="3" t="s">
        <v>2114</v>
      </c>
      <c r="H1085" s="3" t="s">
        <v>2012</v>
      </c>
      <c r="I1085" s="3"/>
      <c r="J1085" s="3" t="s">
        <v>1990</v>
      </c>
      <c r="K1085" s="3" t="s">
        <v>2018</v>
      </c>
      <c r="L1085" s="3"/>
      <c r="M1085" s="3" t="s">
        <v>2019</v>
      </c>
      <c r="N1085" s="3" t="s">
        <v>2120</v>
      </c>
    </row>
    <row r="1086" spans="1:14" x14ac:dyDescent="0.45">
      <c r="A1086" s="3" t="s">
        <v>361</v>
      </c>
      <c r="B1086" s="3" t="s">
        <v>2113</v>
      </c>
      <c r="C1086" s="3" t="s">
        <v>2021</v>
      </c>
      <c r="D1086" s="3" t="s">
        <v>2022</v>
      </c>
      <c r="E1086" s="3" t="s">
        <v>1238</v>
      </c>
      <c r="F1086" s="79">
        <v>25.5</v>
      </c>
      <c r="G1086" s="3" t="s">
        <v>2114</v>
      </c>
      <c r="H1086" s="3" t="s">
        <v>2012</v>
      </c>
      <c r="I1086" s="3"/>
      <c r="J1086" s="3" t="s">
        <v>1990</v>
      </c>
      <c r="K1086" s="3" t="s">
        <v>2018</v>
      </c>
      <c r="L1086" s="3"/>
      <c r="M1086" s="3" t="s">
        <v>2019</v>
      </c>
      <c r="N1086" s="3" t="s">
        <v>2120</v>
      </c>
    </row>
    <row r="1087" spans="1:14" x14ac:dyDescent="0.45">
      <c r="A1087" s="3" t="s">
        <v>361</v>
      </c>
      <c r="B1087" s="3" t="s">
        <v>2113</v>
      </c>
      <c r="C1087" s="3" t="s">
        <v>1287</v>
      </c>
      <c r="D1087" s="3" t="s">
        <v>1244</v>
      </c>
      <c r="E1087" s="3" t="s">
        <v>1288</v>
      </c>
      <c r="F1087" s="79">
        <v>26.7</v>
      </c>
      <c r="G1087" s="3" t="s">
        <v>2114</v>
      </c>
      <c r="H1087" s="3" t="s">
        <v>2012</v>
      </c>
      <c r="I1087" s="3"/>
      <c r="J1087" s="3" t="s">
        <v>1990</v>
      </c>
      <c r="K1087" s="3" t="s">
        <v>2023</v>
      </c>
      <c r="L1087" s="3"/>
      <c r="M1087" s="3" t="s">
        <v>2024</v>
      </c>
      <c r="N1087" s="3" t="s">
        <v>2121</v>
      </c>
    </row>
    <row r="1088" spans="1:14" x14ac:dyDescent="0.45">
      <c r="A1088" s="3" t="s">
        <v>361</v>
      </c>
      <c r="B1088" s="3" t="s">
        <v>2113</v>
      </c>
      <c r="C1088" s="3" t="s">
        <v>1293</v>
      </c>
      <c r="D1088" s="3" t="s">
        <v>1294</v>
      </c>
      <c r="E1088" s="3" t="s">
        <v>1295</v>
      </c>
      <c r="F1088" s="79">
        <v>32.1</v>
      </c>
      <c r="G1088" s="3" t="s">
        <v>2114</v>
      </c>
      <c r="H1088" s="3" t="s">
        <v>2012</v>
      </c>
      <c r="I1088" s="3"/>
      <c r="J1088" s="3" t="s">
        <v>1990</v>
      </c>
      <c r="K1088" s="3" t="s">
        <v>2026</v>
      </c>
      <c r="L1088" s="3"/>
      <c r="M1088" s="3" t="s">
        <v>2027</v>
      </c>
      <c r="N1088" s="3" t="s">
        <v>2122</v>
      </c>
    </row>
    <row r="1089" spans="1:14" x14ac:dyDescent="0.45">
      <c r="A1089" s="3" t="s">
        <v>361</v>
      </c>
      <c r="B1089" s="3" t="s">
        <v>2113</v>
      </c>
      <c r="C1089" s="3" t="s">
        <v>1300</v>
      </c>
      <c r="D1089" s="3" t="s">
        <v>1301</v>
      </c>
      <c r="E1089" s="3" t="s">
        <v>1302</v>
      </c>
      <c r="F1089" s="79">
        <v>33.700000000000003</v>
      </c>
      <c r="G1089" s="3" t="s">
        <v>2114</v>
      </c>
      <c r="H1089" s="3" t="s">
        <v>2012</v>
      </c>
      <c r="I1089" s="3"/>
      <c r="J1089" s="3" t="s">
        <v>1990</v>
      </c>
      <c r="K1089" s="3" t="s">
        <v>2029</v>
      </c>
      <c r="L1089" s="3"/>
      <c r="M1089" s="3" t="s">
        <v>2030</v>
      </c>
      <c r="N1089" s="3" t="s">
        <v>2123</v>
      </c>
    </row>
    <row r="1090" spans="1:14" x14ac:dyDescent="0.45">
      <c r="A1090" s="3" t="s">
        <v>361</v>
      </c>
      <c r="B1090" s="3" t="s">
        <v>2113</v>
      </c>
      <c r="C1090" s="3" t="s">
        <v>1243</v>
      </c>
      <c r="D1090" s="3" t="s">
        <v>1244</v>
      </c>
      <c r="E1090" s="3" t="s">
        <v>1245</v>
      </c>
      <c r="F1090" s="79">
        <v>126.1</v>
      </c>
      <c r="G1090" s="3" t="s">
        <v>2114</v>
      </c>
      <c r="H1090" s="3" t="s">
        <v>2012</v>
      </c>
      <c r="I1090" s="3"/>
      <c r="J1090" s="3" t="s">
        <v>1990</v>
      </c>
      <c r="K1090" s="3" t="s">
        <v>2032</v>
      </c>
      <c r="L1090" s="3"/>
      <c r="M1090" s="3" t="s">
        <v>2033</v>
      </c>
      <c r="N1090" s="3" t="s">
        <v>2124</v>
      </c>
    </row>
    <row r="1091" spans="1:14" x14ac:dyDescent="0.45">
      <c r="A1091" s="3" t="s">
        <v>361</v>
      </c>
      <c r="B1091" s="3" t="s">
        <v>2113</v>
      </c>
      <c r="C1091" s="3" t="s">
        <v>2035</v>
      </c>
      <c r="D1091" s="3" t="s">
        <v>2036</v>
      </c>
      <c r="E1091" s="3" t="s">
        <v>1245</v>
      </c>
      <c r="F1091" s="79">
        <v>33.700000000000003</v>
      </c>
      <c r="G1091" s="3" t="s">
        <v>2114</v>
      </c>
      <c r="H1091" s="3" t="s">
        <v>2012</v>
      </c>
      <c r="I1091" s="3"/>
      <c r="J1091" s="3" t="s">
        <v>1990</v>
      </c>
      <c r="K1091" s="3" t="s">
        <v>2032</v>
      </c>
      <c r="L1091" s="3"/>
      <c r="M1091" s="3" t="s">
        <v>2033</v>
      </c>
      <c r="N1091" s="3" t="s">
        <v>2124</v>
      </c>
    </row>
    <row r="1092" spans="1:14" x14ac:dyDescent="0.45">
      <c r="A1092" s="3" t="s">
        <v>361</v>
      </c>
      <c r="B1092" s="3" t="s">
        <v>2113</v>
      </c>
      <c r="C1092" s="3" t="s">
        <v>1309</v>
      </c>
      <c r="D1092" s="3" t="s">
        <v>1251</v>
      </c>
      <c r="E1092" s="3" t="s">
        <v>1310</v>
      </c>
      <c r="F1092" s="79">
        <v>34.700000000000003</v>
      </c>
      <c r="G1092" s="3" t="s">
        <v>2114</v>
      </c>
      <c r="H1092" s="3" t="s">
        <v>2012</v>
      </c>
      <c r="I1092" s="3"/>
      <c r="J1092" s="3" t="s">
        <v>1990</v>
      </c>
      <c r="K1092" s="3" t="s">
        <v>2037</v>
      </c>
      <c r="L1092" s="3"/>
      <c r="M1092" s="3" t="s">
        <v>2038</v>
      </c>
      <c r="N1092" s="3" t="s">
        <v>2125</v>
      </c>
    </row>
    <row r="1093" spans="1:14" x14ac:dyDescent="0.45">
      <c r="A1093" s="3" t="s">
        <v>361</v>
      </c>
      <c r="B1093" s="3" t="s">
        <v>2113</v>
      </c>
      <c r="C1093" s="3" t="s">
        <v>1315</v>
      </c>
      <c r="D1093" s="3" t="s">
        <v>1316</v>
      </c>
      <c r="E1093" s="3" t="s">
        <v>1317</v>
      </c>
      <c r="F1093" s="79">
        <v>40.5</v>
      </c>
      <c r="G1093" s="3" t="s">
        <v>2114</v>
      </c>
      <c r="H1093" s="3" t="s">
        <v>2012</v>
      </c>
      <c r="I1093" s="3"/>
      <c r="J1093" s="3" t="s">
        <v>1990</v>
      </c>
      <c r="K1093" s="3" t="s">
        <v>2040</v>
      </c>
      <c r="L1093" s="3"/>
      <c r="M1093" s="3" t="s">
        <v>2041</v>
      </c>
      <c r="N1093" s="3" t="s">
        <v>2126</v>
      </c>
    </row>
    <row r="1094" spans="1:14" x14ac:dyDescent="0.45">
      <c r="A1094" s="3" t="s">
        <v>361</v>
      </c>
      <c r="B1094" s="3" t="s">
        <v>2113</v>
      </c>
      <c r="C1094" s="3" t="s">
        <v>1322</v>
      </c>
      <c r="D1094" s="3" t="s">
        <v>1323</v>
      </c>
      <c r="E1094" s="3" t="s">
        <v>1324</v>
      </c>
      <c r="F1094" s="79">
        <v>41.7</v>
      </c>
      <c r="G1094" s="3" t="s">
        <v>2114</v>
      </c>
      <c r="H1094" s="3" t="s">
        <v>2012</v>
      </c>
      <c r="I1094" s="3"/>
      <c r="J1094" s="3" t="s">
        <v>1990</v>
      </c>
      <c r="K1094" s="3" t="s">
        <v>2043</v>
      </c>
      <c r="L1094" s="3"/>
      <c r="M1094" s="3" t="s">
        <v>2044</v>
      </c>
      <c r="N1094" s="3" t="s">
        <v>2127</v>
      </c>
    </row>
    <row r="1095" spans="1:14" x14ac:dyDescent="0.45">
      <c r="A1095" s="3" t="s">
        <v>361</v>
      </c>
      <c r="B1095" s="3" t="s">
        <v>2113</v>
      </c>
      <c r="C1095" s="3" t="s">
        <v>1250</v>
      </c>
      <c r="D1095" s="3" t="s">
        <v>1251</v>
      </c>
      <c r="E1095" s="3" t="s">
        <v>1252</v>
      </c>
      <c r="F1095" s="79">
        <v>159.1</v>
      </c>
      <c r="G1095" s="3" t="s">
        <v>2114</v>
      </c>
      <c r="H1095" s="3" t="s">
        <v>2012</v>
      </c>
      <c r="I1095" s="3"/>
      <c r="J1095" s="3" t="s">
        <v>1990</v>
      </c>
      <c r="K1095" s="3" t="s">
        <v>2084</v>
      </c>
      <c r="L1095" s="3"/>
      <c r="M1095" s="3" t="s">
        <v>2085</v>
      </c>
      <c r="N1095" s="3" t="s">
        <v>2128</v>
      </c>
    </row>
    <row r="1096" spans="1:14" x14ac:dyDescent="0.45">
      <c r="A1096" s="3" t="s">
        <v>361</v>
      </c>
      <c r="B1096" s="3" t="s">
        <v>2113</v>
      </c>
      <c r="C1096" s="3" t="s">
        <v>2046</v>
      </c>
      <c r="D1096" s="3" t="s">
        <v>2047</v>
      </c>
      <c r="E1096" s="3" t="s">
        <v>1252</v>
      </c>
      <c r="F1096" s="79">
        <v>42.2</v>
      </c>
      <c r="G1096" s="3" t="s">
        <v>2114</v>
      </c>
      <c r="H1096" s="3" t="s">
        <v>2012</v>
      </c>
      <c r="I1096" s="3"/>
      <c r="J1096" s="3" t="s">
        <v>1990</v>
      </c>
      <c r="K1096" s="3" t="s">
        <v>2084</v>
      </c>
      <c r="L1096" s="3"/>
      <c r="M1096" s="3" t="s">
        <v>2085</v>
      </c>
      <c r="N1096" s="3" t="s">
        <v>2128</v>
      </c>
    </row>
    <row r="1097" spans="1:14" x14ac:dyDescent="0.45">
      <c r="A1097" s="3" t="s">
        <v>361</v>
      </c>
      <c r="B1097" s="3" t="s">
        <v>2113</v>
      </c>
      <c r="C1097" s="3" t="s">
        <v>1331</v>
      </c>
      <c r="D1097" s="3" t="s">
        <v>1255</v>
      </c>
      <c r="E1097" s="3" t="s">
        <v>1332</v>
      </c>
      <c r="F1097" s="79">
        <v>42.2</v>
      </c>
      <c r="G1097" s="3" t="s">
        <v>2114</v>
      </c>
      <c r="H1097" s="3" t="s">
        <v>2012</v>
      </c>
      <c r="I1097" s="3"/>
      <c r="J1097" s="3" t="s">
        <v>1990</v>
      </c>
      <c r="K1097" s="3" t="s">
        <v>2051</v>
      </c>
      <c r="L1097" s="3"/>
      <c r="M1097" s="3" t="s">
        <v>2052</v>
      </c>
      <c r="N1097" s="3" t="s">
        <v>2129</v>
      </c>
    </row>
    <row r="1098" spans="1:14" x14ac:dyDescent="0.45">
      <c r="A1098" s="3" t="s">
        <v>361</v>
      </c>
      <c r="B1098" s="3" t="s">
        <v>2113</v>
      </c>
      <c r="C1098" s="3" t="s">
        <v>1337</v>
      </c>
      <c r="D1098" s="3" t="s">
        <v>1338</v>
      </c>
      <c r="E1098" s="3" t="s">
        <v>1339</v>
      </c>
      <c r="F1098" s="79">
        <v>49.9</v>
      </c>
      <c r="G1098" s="3" t="s">
        <v>2114</v>
      </c>
      <c r="H1098" s="3" t="s">
        <v>2012</v>
      </c>
      <c r="I1098" s="3"/>
      <c r="J1098" s="3" t="s">
        <v>1990</v>
      </c>
      <c r="K1098" s="3" t="s">
        <v>2054</v>
      </c>
      <c r="L1098" s="3"/>
      <c r="M1098" s="3" t="s">
        <v>2055</v>
      </c>
      <c r="N1098" s="3" t="s">
        <v>2130</v>
      </c>
    </row>
    <row r="1099" spans="1:14" x14ac:dyDescent="0.45">
      <c r="A1099" s="3" t="s">
        <v>361</v>
      </c>
      <c r="B1099" s="3" t="s">
        <v>2113</v>
      </c>
      <c r="C1099" s="3" t="s">
        <v>1344</v>
      </c>
      <c r="D1099" s="3" t="s">
        <v>1345</v>
      </c>
      <c r="E1099" s="3" t="s">
        <v>1346</v>
      </c>
      <c r="F1099" s="79">
        <v>51.5</v>
      </c>
      <c r="G1099" s="3" t="s">
        <v>2114</v>
      </c>
      <c r="H1099" s="3" t="s">
        <v>2012</v>
      </c>
      <c r="I1099" s="3"/>
      <c r="J1099" s="3" t="s">
        <v>1990</v>
      </c>
      <c r="K1099" s="3" t="s">
        <v>2057</v>
      </c>
      <c r="L1099" s="3"/>
      <c r="M1099" s="3" t="s">
        <v>2058</v>
      </c>
      <c r="N1099" s="3" t="s">
        <v>2131</v>
      </c>
    </row>
    <row r="1100" spans="1:14" x14ac:dyDescent="0.45">
      <c r="A1100" s="3" t="s">
        <v>361</v>
      </c>
      <c r="B1100" s="3" t="s">
        <v>2113</v>
      </c>
      <c r="C1100" s="3" t="s">
        <v>1254</v>
      </c>
      <c r="D1100" s="3" t="s">
        <v>1255</v>
      </c>
      <c r="E1100" s="3" t="s">
        <v>1256</v>
      </c>
      <c r="F1100" s="79">
        <v>195.1</v>
      </c>
      <c r="G1100" s="3" t="s">
        <v>2114</v>
      </c>
      <c r="H1100" s="3" t="s">
        <v>2012</v>
      </c>
      <c r="I1100" s="3"/>
      <c r="J1100" s="3" t="s">
        <v>1990</v>
      </c>
      <c r="K1100" s="3" t="s">
        <v>2048</v>
      </c>
      <c r="L1100" s="3"/>
      <c r="M1100" s="3" t="s">
        <v>2049</v>
      </c>
      <c r="N1100" s="3" t="s">
        <v>2132</v>
      </c>
    </row>
    <row r="1101" spans="1:14" x14ac:dyDescent="0.45">
      <c r="A1101" s="3" t="s">
        <v>361</v>
      </c>
      <c r="B1101" s="3" t="s">
        <v>2113</v>
      </c>
      <c r="C1101" s="3" t="s">
        <v>2060</v>
      </c>
      <c r="D1101" s="3" t="s">
        <v>2061</v>
      </c>
      <c r="E1101" s="3" t="s">
        <v>1256</v>
      </c>
      <c r="F1101" s="79">
        <v>51.4</v>
      </c>
      <c r="G1101" s="3" t="s">
        <v>2114</v>
      </c>
      <c r="H1101" s="3" t="s">
        <v>2012</v>
      </c>
      <c r="I1101" s="3"/>
      <c r="J1101" s="3" t="s">
        <v>1990</v>
      </c>
      <c r="K1101" s="3" t="s">
        <v>2048</v>
      </c>
      <c r="L1101" s="3"/>
      <c r="M1101" s="3" t="s">
        <v>2049</v>
      </c>
      <c r="N1101" s="3" t="s">
        <v>2132</v>
      </c>
    </row>
    <row r="1102" spans="1:14" x14ac:dyDescent="0.45">
      <c r="A1102" s="3" t="s">
        <v>361</v>
      </c>
      <c r="B1102" s="3" t="s">
        <v>2113</v>
      </c>
      <c r="C1102" s="3" t="s">
        <v>1350</v>
      </c>
      <c r="D1102" s="3" t="s">
        <v>1351</v>
      </c>
      <c r="E1102" s="3" t="s">
        <v>1352</v>
      </c>
      <c r="F1102" s="79">
        <v>51.3</v>
      </c>
      <c r="G1102" s="3" t="s">
        <v>2114</v>
      </c>
      <c r="H1102" s="3" t="s">
        <v>2012</v>
      </c>
      <c r="I1102" s="3"/>
      <c r="J1102" s="3" t="s">
        <v>1990</v>
      </c>
      <c r="K1102" s="3" t="s">
        <v>2062</v>
      </c>
      <c r="L1102" s="3"/>
      <c r="M1102" s="3" t="s">
        <v>2063</v>
      </c>
      <c r="N1102" s="3" t="s">
        <v>2133</v>
      </c>
    </row>
    <row r="1103" spans="1:14" x14ac:dyDescent="0.45">
      <c r="A1103" s="3" t="s">
        <v>361</v>
      </c>
      <c r="B1103" s="3" t="s">
        <v>2113</v>
      </c>
      <c r="C1103" s="3" t="s">
        <v>1354</v>
      </c>
      <c r="D1103" s="3" t="s">
        <v>1355</v>
      </c>
      <c r="E1103" s="3" t="s">
        <v>1356</v>
      </c>
      <c r="F1103" s="79">
        <v>60.7</v>
      </c>
      <c r="G1103" s="3" t="s">
        <v>2114</v>
      </c>
      <c r="H1103" s="3" t="s">
        <v>2012</v>
      </c>
      <c r="I1103" s="3"/>
      <c r="J1103" s="3" t="s">
        <v>1990</v>
      </c>
      <c r="K1103" s="3" t="s">
        <v>2065</v>
      </c>
      <c r="L1103" s="3"/>
      <c r="M1103" s="3" t="s">
        <v>2066</v>
      </c>
      <c r="N1103" s="3" t="s">
        <v>2134</v>
      </c>
    </row>
    <row r="1104" spans="1:14" x14ac:dyDescent="0.45">
      <c r="A1104" s="3" t="s">
        <v>2135</v>
      </c>
      <c r="B1104" s="3" t="s">
        <v>2136</v>
      </c>
      <c r="C1104" s="3" t="s">
        <v>882</v>
      </c>
      <c r="D1104" s="3" t="s">
        <v>1301</v>
      </c>
      <c r="E1104" s="3" t="s">
        <v>1302</v>
      </c>
      <c r="F1104" s="79">
        <v>25</v>
      </c>
      <c r="G1104" s="3" t="s">
        <v>1221</v>
      </c>
      <c r="H1104" s="3" t="s">
        <v>2137</v>
      </c>
      <c r="I1104" s="3"/>
      <c r="J1104" s="3" t="s">
        <v>1990</v>
      </c>
      <c r="K1104" s="3" t="s">
        <v>2026</v>
      </c>
      <c r="L1104" s="3"/>
      <c r="M1104" s="3" t="s">
        <v>2027</v>
      </c>
      <c r="N1104" s="3" t="s">
        <v>2138</v>
      </c>
    </row>
    <row r="1105" spans="1:14" x14ac:dyDescent="0.45">
      <c r="A1105" s="3" t="s">
        <v>2135</v>
      </c>
      <c r="B1105" s="3" t="s">
        <v>2139</v>
      </c>
      <c r="C1105" s="3" t="s">
        <v>2140</v>
      </c>
      <c r="D1105" s="3" t="s">
        <v>1244</v>
      </c>
      <c r="E1105" s="3" t="s">
        <v>1245</v>
      </c>
      <c r="F1105" s="79">
        <v>35</v>
      </c>
      <c r="G1105" s="3" t="s">
        <v>1221</v>
      </c>
      <c r="H1105" s="3" t="s">
        <v>2137</v>
      </c>
      <c r="I1105" s="3"/>
      <c r="J1105" s="3" t="s">
        <v>1990</v>
      </c>
      <c r="K1105" s="3" t="s">
        <v>2026</v>
      </c>
      <c r="L1105" s="3"/>
      <c r="M1105" s="3" t="s">
        <v>2027</v>
      </c>
      <c r="N1105" s="3" t="s">
        <v>2141</v>
      </c>
    </row>
    <row r="1106" spans="1:14" x14ac:dyDescent="0.45">
      <c r="A1106" s="3" t="s">
        <v>2135</v>
      </c>
      <c r="B1106" s="3" t="s">
        <v>2142</v>
      </c>
      <c r="C1106" s="3" t="s">
        <v>2143</v>
      </c>
      <c r="D1106" s="3" t="s">
        <v>1244</v>
      </c>
      <c r="E1106" s="3" t="s">
        <v>1245</v>
      </c>
      <c r="F1106" s="79">
        <v>48</v>
      </c>
      <c r="G1106" s="3" t="s">
        <v>1221</v>
      </c>
      <c r="H1106" s="3" t="s">
        <v>2137</v>
      </c>
      <c r="I1106" s="3"/>
      <c r="J1106" s="3" t="s">
        <v>1990</v>
      </c>
      <c r="K1106" s="3" t="s">
        <v>2029</v>
      </c>
      <c r="L1106" s="3"/>
      <c r="M1106" s="3" t="s">
        <v>2030</v>
      </c>
      <c r="N1106" s="3" t="s">
        <v>2144</v>
      </c>
    </row>
    <row r="1107" spans="1:14" x14ac:dyDescent="0.45">
      <c r="A1107" s="3" t="s">
        <v>2135</v>
      </c>
      <c r="B1107" s="3" t="s">
        <v>2145</v>
      </c>
      <c r="C1107" s="3" t="s">
        <v>884</v>
      </c>
      <c r="D1107" s="3" t="s">
        <v>2036</v>
      </c>
      <c r="E1107" s="3" t="s">
        <v>1245</v>
      </c>
      <c r="F1107" s="79">
        <v>15</v>
      </c>
      <c r="G1107" s="3" t="s">
        <v>1221</v>
      </c>
      <c r="H1107" s="3" t="s">
        <v>2137</v>
      </c>
      <c r="I1107" s="3"/>
      <c r="J1107" s="3" t="s">
        <v>1990</v>
      </c>
      <c r="K1107" s="3" t="s">
        <v>2029</v>
      </c>
      <c r="L1107" s="3"/>
      <c r="M1107" s="3" t="s">
        <v>2030</v>
      </c>
      <c r="N1107" s="3" t="s">
        <v>2146</v>
      </c>
    </row>
    <row r="1108" spans="1:14" x14ac:dyDescent="0.45">
      <c r="A1108" s="3" t="s">
        <v>2135</v>
      </c>
      <c r="B1108" s="3" t="s">
        <v>2147</v>
      </c>
      <c r="C1108" s="3" t="s">
        <v>886</v>
      </c>
      <c r="D1108" s="3" t="s">
        <v>1251</v>
      </c>
      <c r="E1108" s="3" t="s">
        <v>1310</v>
      </c>
      <c r="F1108" s="79">
        <v>25</v>
      </c>
      <c r="G1108" s="3" t="s">
        <v>1221</v>
      </c>
      <c r="H1108" s="3" t="s">
        <v>2137</v>
      </c>
      <c r="I1108" s="3"/>
      <c r="J1108" s="3" t="s">
        <v>1990</v>
      </c>
      <c r="K1108" s="3" t="s">
        <v>2032</v>
      </c>
      <c r="L1108" s="3"/>
      <c r="M1108" s="3" t="s">
        <v>2033</v>
      </c>
      <c r="N1108" s="3" t="s">
        <v>2138</v>
      </c>
    </row>
    <row r="1109" spans="1:14" x14ac:dyDescent="0.45">
      <c r="A1109" s="3" t="s">
        <v>2135</v>
      </c>
      <c r="B1109" s="3" t="s">
        <v>2148</v>
      </c>
      <c r="C1109" s="3" t="s">
        <v>888</v>
      </c>
      <c r="D1109" s="3" t="s">
        <v>1316</v>
      </c>
      <c r="E1109" s="3" t="s">
        <v>1317</v>
      </c>
      <c r="F1109" s="79">
        <v>65</v>
      </c>
      <c r="G1109" s="3" t="s">
        <v>1221</v>
      </c>
      <c r="H1109" s="3" t="s">
        <v>2137</v>
      </c>
      <c r="I1109" s="3"/>
      <c r="J1109" s="3" t="s">
        <v>1990</v>
      </c>
      <c r="K1109" s="3" t="s">
        <v>2037</v>
      </c>
      <c r="L1109" s="3"/>
      <c r="M1109" s="3" t="s">
        <v>2038</v>
      </c>
      <c r="N1109" s="3" t="s">
        <v>2149</v>
      </c>
    </row>
    <row r="1110" spans="1:14" x14ac:dyDescent="0.45">
      <c r="A1110" s="3" t="s">
        <v>2135</v>
      </c>
      <c r="B1110" s="3" t="s">
        <v>2150</v>
      </c>
      <c r="C1110" s="3" t="s">
        <v>890</v>
      </c>
      <c r="D1110" s="3" t="s">
        <v>1323</v>
      </c>
      <c r="E1110" s="3" t="s">
        <v>1324</v>
      </c>
      <c r="F1110" s="79">
        <v>80</v>
      </c>
      <c r="G1110" s="3" t="s">
        <v>1221</v>
      </c>
      <c r="H1110" s="3" t="s">
        <v>2137</v>
      </c>
      <c r="I1110" s="3"/>
      <c r="J1110" s="3" t="s">
        <v>1990</v>
      </c>
      <c r="K1110" s="3" t="s">
        <v>2040</v>
      </c>
      <c r="L1110" s="3"/>
      <c r="M1110" s="3" t="s">
        <v>2041</v>
      </c>
      <c r="N1110" s="3" t="s">
        <v>2151</v>
      </c>
    </row>
    <row r="1111" spans="1:14" x14ac:dyDescent="0.45">
      <c r="A1111" s="3" t="s">
        <v>2135</v>
      </c>
      <c r="B1111" s="3" t="s">
        <v>2152</v>
      </c>
      <c r="C1111" s="3" t="s">
        <v>858</v>
      </c>
      <c r="D1111" s="3" t="s">
        <v>1251</v>
      </c>
      <c r="E1111" s="3" t="s">
        <v>1252</v>
      </c>
      <c r="F1111" s="79">
        <v>220</v>
      </c>
      <c r="G1111" s="3" t="s">
        <v>1221</v>
      </c>
      <c r="H1111" s="3" t="s">
        <v>2137</v>
      </c>
      <c r="I1111" s="3"/>
      <c r="J1111" s="3" t="s">
        <v>1990</v>
      </c>
      <c r="K1111" s="3" t="s">
        <v>2032</v>
      </c>
      <c r="L1111" s="3"/>
      <c r="M1111" s="3" t="s">
        <v>2033</v>
      </c>
      <c r="N1111" s="3" t="s">
        <v>2153</v>
      </c>
    </row>
    <row r="1112" spans="1:14" x14ac:dyDescent="0.45">
      <c r="A1112" s="3" t="s">
        <v>2135</v>
      </c>
      <c r="B1112" s="3" t="s">
        <v>2154</v>
      </c>
      <c r="C1112" s="3" t="s">
        <v>860</v>
      </c>
      <c r="D1112" s="3" t="s">
        <v>1251</v>
      </c>
      <c r="E1112" s="3" t="s">
        <v>1252</v>
      </c>
      <c r="F1112" s="79">
        <v>270</v>
      </c>
      <c r="G1112" s="3" t="s">
        <v>1221</v>
      </c>
      <c r="H1112" s="3" t="s">
        <v>2137</v>
      </c>
      <c r="I1112" s="3"/>
      <c r="J1112" s="3" t="s">
        <v>1990</v>
      </c>
      <c r="K1112" s="3" t="s">
        <v>2037</v>
      </c>
      <c r="L1112" s="3"/>
      <c r="M1112" s="3" t="s">
        <v>2038</v>
      </c>
      <c r="N1112" s="3" t="s">
        <v>2155</v>
      </c>
    </row>
    <row r="1113" spans="1:14" x14ac:dyDescent="0.45">
      <c r="A1113" s="3" t="s">
        <v>2135</v>
      </c>
      <c r="B1113" s="3" t="s">
        <v>2156</v>
      </c>
      <c r="C1113" s="3" t="s">
        <v>862</v>
      </c>
      <c r="D1113" s="3" t="s">
        <v>1251</v>
      </c>
      <c r="E1113" s="3" t="s">
        <v>1252</v>
      </c>
      <c r="F1113" s="79">
        <v>305</v>
      </c>
      <c r="G1113" s="3" t="s">
        <v>1221</v>
      </c>
      <c r="H1113" s="3" t="s">
        <v>2137</v>
      </c>
      <c r="I1113" s="3"/>
      <c r="J1113" s="3" t="s">
        <v>1990</v>
      </c>
      <c r="K1113" s="3" t="s">
        <v>2040</v>
      </c>
      <c r="L1113" s="3"/>
      <c r="M1113" s="3" t="s">
        <v>2041</v>
      </c>
      <c r="N1113" s="3" t="s">
        <v>2157</v>
      </c>
    </row>
    <row r="1114" spans="1:14" x14ac:dyDescent="0.45">
      <c r="A1114" s="3" t="s">
        <v>2135</v>
      </c>
      <c r="B1114" s="3" t="s">
        <v>2158</v>
      </c>
      <c r="C1114" s="3" t="s">
        <v>864</v>
      </c>
      <c r="D1114" s="3" t="s">
        <v>1251</v>
      </c>
      <c r="E1114" s="3" t="s">
        <v>1252</v>
      </c>
      <c r="F1114" s="79">
        <v>362</v>
      </c>
      <c r="G1114" s="3" t="s">
        <v>1221</v>
      </c>
      <c r="H1114" s="3" t="s">
        <v>2137</v>
      </c>
      <c r="I1114" s="3"/>
      <c r="J1114" s="3" t="s">
        <v>1990</v>
      </c>
      <c r="K1114" s="3" t="s">
        <v>2043</v>
      </c>
      <c r="L1114" s="3"/>
      <c r="M1114" s="3" t="s">
        <v>2044</v>
      </c>
      <c r="N1114" s="3" t="s">
        <v>2159</v>
      </c>
    </row>
    <row r="1115" spans="1:14" x14ac:dyDescent="0.45">
      <c r="A1115" s="3" t="s">
        <v>2135</v>
      </c>
      <c r="B1115" s="3" t="s">
        <v>2160</v>
      </c>
      <c r="C1115" s="3" t="s">
        <v>892</v>
      </c>
      <c r="D1115" s="3" t="s">
        <v>2047</v>
      </c>
      <c r="E1115" s="3" t="s">
        <v>1252</v>
      </c>
      <c r="F1115" s="79">
        <v>100</v>
      </c>
      <c r="G1115" s="3" t="s">
        <v>1221</v>
      </c>
      <c r="H1115" s="3" t="s">
        <v>2137</v>
      </c>
      <c r="I1115" s="3"/>
      <c r="J1115" s="3" t="s">
        <v>1990</v>
      </c>
      <c r="K1115" s="3" t="s">
        <v>2043</v>
      </c>
      <c r="L1115" s="3"/>
      <c r="M1115" s="3" t="s">
        <v>2044</v>
      </c>
      <c r="N1115" s="3" t="s">
        <v>2161</v>
      </c>
    </row>
    <row r="1116" spans="1:14" x14ac:dyDescent="0.45">
      <c r="A1116" s="3" t="s">
        <v>2135</v>
      </c>
      <c r="B1116" s="3" t="s">
        <v>2162</v>
      </c>
      <c r="C1116" s="3" t="s">
        <v>894</v>
      </c>
      <c r="D1116" s="3" t="s">
        <v>1255</v>
      </c>
      <c r="E1116" s="3" t="s">
        <v>1332</v>
      </c>
      <c r="F1116" s="79">
        <v>110</v>
      </c>
      <c r="G1116" s="3" t="s">
        <v>1221</v>
      </c>
      <c r="H1116" s="3" t="s">
        <v>2137</v>
      </c>
      <c r="I1116" s="3"/>
      <c r="J1116" s="3" t="s">
        <v>1990</v>
      </c>
      <c r="K1116" s="3" t="s">
        <v>2084</v>
      </c>
      <c r="L1116" s="3"/>
      <c r="M1116" s="3" t="s">
        <v>2085</v>
      </c>
      <c r="N1116" s="3" t="s">
        <v>2163</v>
      </c>
    </row>
    <row r="1117" spans="1:14" x14ac:dyDescent="0.45">
      <c r="A1117" s="3" t="s">
        <v>2135</v>
      </c>
      <c r="B1117" s="3" t="s">
        <v>2164</v>
      </c>
      <c r="C1117" s="3" t="s">
        <v>896</v>
      </c>
      <c r="D1117" s="3" t="s">
        <v>1338</v>
      </c>
      <c r="E1117" s="3" t="s">
        <v>1339</v>
      </c>
      <c r="F1117" s="79">
        <v>140</v>
      </c>
      <c r="G1117" s="3" t="s">
        <v>1221</v>
      </c>
      <c r="H1117" s="3" t="s">
        <v>2137</v>
      </c>
      <c r="I1117" s="3"/>
      <c r="J1117" s="3" t="s">
        <v>1990</v>
      </c>
      <c r="K1117" s="3" t="s">
        <v>2051</v>
      </c>
      <c r="L1117" s="3"/>
      <c r="M1117" s="3" t="s">
        <v>2052</v>
      </c>
      <c r="N1117" s="3" t="s">
        <v>2165</v>
      </c>
    </row>
    <row r="1118" spans="1:14" x14ac:dyDescent="0.45">
      <c r="A1118" s="3" t="s">
        <v>2135</v>
      </c>
      <c r="B1118" s="3" t="s">
        <v>2166</v>
      </c>
      <c r="C1118" s="3" t="s">
        <v>898</v>
      </c>
      <c r="D1118" s="3" t="s">
        <v>1345</v>
      </c>
      <c r="E1118" s="3" t="s">
        <v>1346</v>
      </c>
      <c r="F1118" s="79">
        <v>150</v>
      </c>
      <c r="G1118" s="3" t="s">
        <v>1221</v>
      </c>
      <c r="H1118" s="3" t="s">
        <v>2137</v>
      </c>
      <c r="I1118" s="3"/>
      <c r="J1118" s="3" t="s">
        <v>1990</v>
      </c>
      <c r="K1118" s="3" t="s">
        <v>2054</v>
      </c>
      <c r="L1118" s="3"/>
      <c r="M1118" s="3" t="s">
        <v>2055</v>
      </c>
      <c r="N1118" s="3" t="s">
        <v>2167</v>
      </c>
    </row>
    <row r="1119" spans="1:14" x14ac:dyDescent="0.45">
      <c r="A1119" s="3" t="s">
        <v>2135</v>
      </c>
      <c r="B1119" s="3" t="s">
        <v>2168</v>
      </c>
      <c r="C1119" s="3" t="s">
        <v>866</v>
      </c>
      <c r="D1119" s="3" t="s">
        <v>1255</v>
      </c>
      <c r="E1119" s="3" t="s">
        <v>1256</v>
      </c>
      <c r="F1119" s="79">
        <v>530</v>
      </c>
      <c r="G1119" s="3" t="s">
        <v>1221</v>
      </c>
      <c r="H1119" s="3" t="s">
        <v>2137</v>
      </c>
      <c r="I1119" s="3"/>
      <c r="J1119" s="3" t="s">
        <v>1990</v>
      </c>
      <c r="K1119" s="3" t="s">
        <v>2084</v>
      </c>
      <c r="L1119" s="3"/>
      <c r="M1119" s="3" t="s">
        <v>2085</v>
      </c>
      <c r="N1119" s="3" t="s">
        <v>2169</v>
      </c>
    </row>
    <row r="1120" spans="1:14" x14ac:dyDescent="0.45">
      <c r="A1120" s="3" t="s">
        <v>2135</v>
      </c>
      <c r="B1120" s="3" t="s">
        <v>2170</v>
      </c>
      <c r="C1120" s="3" t="s">
        <v>868</v>
      </c>
      <c r="D1120" s="3" t="s">
        <v>1255</v>
      </c>
      <c r="E1120" s="3" t="s">
        <v>1256</v>
      </c>
      <c r="F1120" s="79">
        <v>560</v>
      </c>
      <c r="G1120" s="3" t="s">
        <v>1221</v>
      </c>
      <c r="H1120" s="3" t="s">
        <v>2137</v>
      </c>
      <c r="I1120" s="3"/>
      <c r="J1120" s="3" t="s">
        <v>1990</v>
      </c>
      <c r="K1120" s="3" t="s">
        <v>2051</v>
      </c>
      <c r="L1120" s="3"/>
      <c r="M1120" s="3" t="s">
        <v>2052</v>
      </c>
      <c r="N1120" s="3" t="s">
        <v>2171</v>
      </c>
    </row>
    <row r="1121" spans="1:14" x14ac:dyDescent="0.45">
      <c r="A1121" s="3" t="s">
        <v>2135</v>
      </c>
      <c r="B1121" s="3" t="s">
        <v>2172</v>
      </c>
      <c r="C1121" s="3" t="s">
        <v>870</v>
      </c>
      <c r="D1121" s="3" t="s">
        <v>1255</v>
      </c>
      <c r="E1121" s="3" t="s">
        <v>1256</v>
      </c>
      <c r="F1121" s="79">
        <v>585</v>
      </c>
      <c r="G1121" s="3" t="s">
        <v>1221</v>
      </c>
      <c r="H1121" s="3" t="s">
        <v>2137</v>
      </c>
      <c r="I1121" s="3"/>
      <c r="J1121" s="3" t="s">
        <v>1990</v>
      </c>
      <c r="K1121" s="3" t="s">
        <v>2054</v>
      </c>
      <c r="L1121" s="3"/>
      <c r="M1121" s="3" t="s">
        <v>2055</v>
      </c>
      <c r="N1121" s="3" t="s">
        <v>2173</v>
      </c>
    </row>
    <row r="1122" spans="1:14" x14ac:dyDescent="0.45">
      <c r="A1122" s="3" t="s">
        <v>2135</v>
      </c>
      <c r="B1122" s="3" t="s">
        <v>2174</v>
      </c>
      <c r="C1122" s="3" t="s">
        <v>872</v>
      </c>
      <c r="D1122" s="3" t="s">
        <v>1255</v>
      </c>
      <c r="E1122" s="3" t="s">
        <v>1256</v>
      </c>
      <c r="F1122" s="79">
        <v>620</v>
      </c>
      <c r="G1122" s="3" t="s">
        <v>1221</v>
      </c>
      <c r="H1122" s="3" t="s">
        <v>2137</v>
      </c>
      <c r="I1122" s="3"/>
      <c r="J1122" s="3" t="s">
        <v>1990</v>
      </c>
      <c r="K1122" s="3" t="s">
        <v>2057</v>
      </c>
      <c r="L1122" s="3"/>
      <c r="M1122" s="3" t="s">
        <v>2058</v>
      </c>
      <c r="N1122" s="3" t="s">
        <v>2175</v>
      </c>
    </row>
    <row r="1123" spans="1:14" x14ac:dyDescent="0.45">
      <c r="A1123" s="3" t="s">
        <v>2135</v>
      </c>
      <c r="B1123" s="3" t="s">
        <v>2176</v>
      </c>
      <c r="C1123" s="3" t="s">
        <v>900</v>
      </c>
      <c r="D1123" s="3" t="s">
        <v>2061</v>
      </c>
      <c r="E1123" s="3" t="s">
        <v>1256</v>
      </c>
      <c r="F1123" s="79">
        <v>150</v>
      </c>
      <c r="G1123" s="3" t="s">
        <v>1221</v>
      </c>
      <c r="H1123" s="3" t="s">
        <v>2137</v>
      </c>
      <c r="I1123" s="3"/>
      <c r="J1123" s="3" t="s">
        <v>1990</v>
      </c>
      <c r="K1123" s="3" t="s">
        <v>2057</v>
      </c>
      <c r="L1123" s="3"/>
      <c r="M1123" s="3" t="s">
        <v>2058</v>
      </c>
      <c r="N1123" s="3" t="s">
        <v>2167</v>
      </c>
    </row>
    <row r="1124" spans="1:14" x14ac:dyDescent="0.45">
      <c r="A1124" s="3" t="s">
        <v>2135</v>
      </c>
      <c r="B1124" s="3" t="s">
        <v>2177</v>
      </c>
      <c r="C1124" s="3" t="s">
        <v>902</v>
      </c>
      <c r="D1124" s="3" t="s">
        <v>1351</v>
      </c>
      <c r="E1124" s="3" t="s">
        <v>1352</v>
      </c>
      <c r="F1124" s="79">
        <v>170</v>
      </c>
      <c r="G1124" s="3" t="s">
        <v>1221</v>
      </c>
      <c r="H1124" s="3" t="s">
        <v>2137</v>
      </c>
      <c r="I1124" s="3"/>
      <c r="J1124" s="3" t="s">
        <v>1990</v>
      </c>
      <c r="K1124" s="3" t="s">
        <v>2048</v>
      </c>
      <c r="L1124" s="3"/>
      <c r="M1124" s="3" t="s">
        <v>2049</v>
      </c>
      <c r="N1124" s="3" t="s">
        <v>2178</v>
      </c>
    </row>
    <row r="1125" spans="1:14" x14ac:dyDescent="0.45">
      <c r="A1125" s="3" t="s">
        <v>2135</v>
      </c>
      <c r="B1125" s="3" t="s">
        <v>2179</v>
      </c>
      <c r="C1125" s="3" t="s">
        <v>904</v>
      </c>
      <c r="D1125" s="3" t="s">
        <v>1355</v>
      </c>
      <c r="E1125" s="3" t="s">
        <v>1356</v>
      </c>
      <c r="F1125" s="79">
        <v>195</v>
      </c>
      <c r="G1125" s="3" t="s">
        <v>1221</v>
      </c>
      <c r="H1125" s="3" t="s">
        <v>2137</v>
      </c>
      <c r="I1125" s="3"/>
      <c r="J1125" s="3" t="s">
        <v>1990</v>
      </c>
      <c r="K1125" s="3" t="s">
        <v>2062</v>
      </c>
      <c r="L1125" s="3"/>
      <c r="M1125" s="3" t="s">
        <v>2063</v>
      </c>
      <c r="N1125" s="3" t="s">
        <v>2180</v>
      </c>
    </row>
    <row r="1126" spans="1:14" x14ac:dyDescent="0.45">
      <c r="A1126" s="3" t="s">
        <v>2135</v>
      </c>
      <c r="B1126" s="3" t="s">
        <v>2181</v>
      </c>
      <c r="C1126" s="3" t="s">
        <v>846</v>
      </c>
      <c r="D1126" s="3" t="s">
        <v>2182</v>
      </c>
      <c r="E1126" s="3" t="s">
        <v>2183</v>
      </c>
      <c r="F1126" s="79">
        <v>220</v>
      </c>
      <c r="G1126" s="3" t="s">
        <v>1221</v>
      </c>
      <c r="H1126" s="3" t="s">
        <v>2137</v>
      </c>
      <c r="I1126" s="3"/>
      <c r="J1126" s="3" t="s">
        <v>1990</v>
      </c>
      <c r="K1126" s="3" t="s">
        <v>2065</v>
      </c>
      <c r="L1126" s="3"/>
      <c r="M1126" s="3" t="s">
        <v>2066</v>
      </c>
      <c r="N1126" s="3" t="s">
        <v>2184</v>
      </c>
    </row>
    <row r="1127" spans="1:14" x14ac:dyDescent="0.45">
      <c r="A1127" s="3" t="s">
        <v>2135</v>
      </c>
      <c r="B1127" s="3" t="s">
        <v>2185</v>
      </c>
      <c r="C1127" s="3" t="s">
        <v>874</v>
      </c>
      <c r="D1127" s="3" t="s">
        <v>1351</v>
      </c>
      <c r="E1127" s="3" t="s">
        <v>2186</v>
      </c>
      <c r="F1127" s="79">
        <v>795</v>
      </c>
      <c r="G1127" s="3" t="s">
        <v>1221</v>
      </c>
      <c r="H1127" s="3" t="s">
        <v>2137</v>
      </c>
      <c r="I1127" s="3"/>
      <c r="J1127" s="3" t="s">
        <v>1990</v>
      </c>
      <c r="K1127" s="3" t="s">
        <v>2048</v>
      </c>
      <c r="L1127" s="3"/>
      <c r="M1127" s="3" t="s">
        <v>2049</v>
      </c>
      <c r="N1127" s="3" t="s">
        <v>2187</v>
      </c>
    </row>
    <row r="1128" spans="1:14" x14ac:dyDescent="0.45">
      <c r="A1128" s="3" t="s">
        <v>2135</v>
      </c>
      <c r="B1128" s="3" t="s">
        <v>2188</v>
      </c>
      <c r="C1128" s="3" t="s">
        <v>876</v>
      </c>
      <c r="D1128" s="3" t="s">
        <v>1351</v>
      </c>
      <c r="E1128" s="3" t="s">
        <v>2186</v>
      </c>
      <c r="F1128" s="79">
        <v>810</v>
      </c>
      <c r="G1128" s="3" t="s">
        <v>1221</v>
      </c>
      <c r="H1128" s="3" t="s">
        <v>2137</v>
      </c>
      <c r="I1128" s="3"/>
      <c r="J1128" s="3" t="s">
        <v>1990</v>
      </c>
      <c r="K1128" s="3" t="s">
        <v>2062</v>
      </c>
      <c r="L1128" s="3"/>
      <c r="M1128" s="3" t="s">
        <v>2063</v>
      </c>
      <c r="N1128" s="3" t="s">
        <v>2189</v>
      </c>
    </row>
    <row r="1129" spans="1:14" x14ac:dyDescent="0.45">
      <c r="A1129" s="3" t="s">
        <v>2135</v>
      </c>
      <c r="B1129" s="3" t="s">
        <v>2190</v>
      </c>
      <c r="C1129" s="3" t="s">
        <v>842</v>
      </c>
      <c r="D1129" s="3" t="s">
        <v>1351</v>
      </c>
      <c r="E1129" s="3" t="s">
        <v>2186</v>
      </c>
      <c r="F1129" s="79">
        <v>825</v>
      </c>
      <c r="G1129" s="3" t="s">
        <v>1221</v>
      </c>
      <c r="H1129" s="3" t="s">
        <v>2137</v>
      </c>
      <c r="I1129" s="3"/>
      <c r="J1129" s="3" t="s">
        <v>1990</v>
      </c>
      <c r="K1129" s="3" t="s">
        <v>2065</v>
      </c>
      <c r="L1129" s="3"/>
      <c r="M1129" s="3" t="s">
        <v>2066</v>
      </c>
      <c r="N1129" s="3" t="s">
        <v>2191</v>
      </c>
    </row>
    <row r="1130" spans="1:14" x14ac:dyDescent="0.45">
      <c r="A1130" s="3" t="s">
        <v>2192</v>
      </c>
      <c r="B1130" s="3" t="s">
        <v>2193</v>
      </c>
      <c r="C1130" s="3" t="s">
        <v>882</v>
      </c>
      <c r="D1130" s="3" t="s">
        <v>1301</v>
      </c>
      <c r="E1130" s="3" t="s">
        <v>1302</v>
      </c>
      <c r="F1130" s="79">
        <v>15</v>
      </c>
      <c r="G1130" s="3" t="s">
        <v>1221</v>
      </c>
      <c r="H1130" s="3" t="s">
        <v>2137</v>
      </c>
      <c r="I1130" s="3"/>
      <c r="J1130" s="3" t="s">
        <v>1990</v>
      </c>
      <c r="K1130" s="3" t="s">
        <v>2026</v>
      </c>
      <c r="L1130" s="3"/>
      <c r="M1130" s="3" t="s">
        <v>2027</v>
      </c>
      <c r="N1130" s="3" t="s">
        <v>2138</v>
      </c>
    </row>
    <row r="1131" spans="1:14" x14ac:dyDescent="0.45">
      <c r="A1131" s="3" t="s">
        <v>2192</v>
      </c>
      <c r="B1131" s="3" t="s">
        <v>2194</v>
      </c>
      <c r="C1131" s="3" t="s">
        <v>2140</v>
      </c>
      <c r="D1131" s="3" t="s">
        <v>1244</v>
      </c>
      <c r="E1131" s="3" t="s">
        <v>1245</v>
      </c>
      <c r="F1131" s="79">
        <v>15</v>
      </c>
      <c r="G1131" s="3" t="s">
        <v>1221</v>
      </c>
      <c r="H1131" s="3" t="s">
        <v>2137</v>
      </c>
      <c r="I1131" s="3"/>
      <c r="J1131" s="3" t="s">
        <v>1990</v>
      </c>
      <c r="K1131" s="3" t="s">
        <v>2026</v>
      </c>
      <c r="L1131" s="3"/>
      <c r="M1131" s="3" t="s">
        <v>2027</v>
      </c>
      <c r="N1131" s="3" t="s">
        <v>2141</v>
      </c>
    </row>
    <row r="1132" spans="1:14" x14ac:dyDescent="0.45">
      <c r="A1132" s="3" t="s">
        <v>2192</v>
      </c>
      <c r="B1132" s="3" t="s">
        <v>2195</v>
      </c>
      <c r="C1132" s="3" t="s">
        <v>2143</v>
      </c>
      <c r="D1132" s="3" t="s">
        <v>1244</v>
      </c>
      <c r="E1132" s="3" t="s">
        <v>1245</v>
      </c>
      <c r="F1132" s="79">
        <v>38</v>
      </c>
      <c r="G1132" s="3" t="s">
        <v>1221</v>
      </c>
      <c r="H1132" s="3" t="s">
        <v>2137</v>
      </c>
      <c r="I1132" s="3"/>
      <c r="J1132" s="3" t="s">
        <v>1990</v>
      </c>
      <c r="K1132" s="3" t="s">
        <v>2029</v>
      </c>
      <c r="L1132" s="3"/>
      <c r="M1132" s="3" t="s">
        <v>2030</v>
      </c>
      <c r="N1132" s="3" t="s">
        <v>2144</v>
      </c>
    </row>
    <row r="1133" spans="1:14" x14ac:dyDescent="0.45">
      <c r="A1133" s="3" t="s">
        <v>2192</v>
      </c>
      <c r="B1133" s="3" t="s">
        <v>2196</v>
      </c>
      <c r="C1133" s="3" t="s">
        <v>884</v>
      </c>
      <c r="D1133" s="3" t="s">
        <v>2036</v>
      </c>
      <c r="E1133" s="3" t="s">
        <v>1245</v>
      </c>
      <c r="F1133" s="79">
        <v>5</v>
      </c>
      <c r="G1133" s="3" t="s">
        <v>1221</v>
      </c>
      <c r="H1133" s="3" t="s">
        <v>2137</v>
      </c>
      <c r="I1133" s="3"/>
      <c r="J1133" s="3" t="s">
        <v>1990</v>
      </c>
      <c r="K1133" s="3" t="s">
        <v>2029</v>
      </c>
      <c r="L1133" s="3"/>
      <c r="M1133" s="3" t="s">
        <v>2030</v>
      </c>
      <c r="N1133" s="3" t="s">
        <v>2146</v>
      </c>
    </row>
    <row r="1134" spans="1:14" x14ac:dyDescent="0.45">
      <c r="A1134" s="3" t="s">
        <v>2192</v>
      </c>
      <c r="B1134" s="3" t="s">
        <v>2197</v>
      </c>
      <c r="C1134" s="3" t="s">
        <v>886</v>
      </c>
      <c r="D1134" s="3" t="s">
        <v>1251</v>
      </c>
      <c r="E1134" s="3" t="s">
        <v>1310</v>
      </c>
      <c r="F1134" s="79">
        <v>15</v>
      </c>
      <c r="G1134" s="3" t="s">
        <v>1221</v>
      </c>
      <c r="H1134" s="3" t="s">
        <v>2137</v>
      </c>
      <c r="I1134" s="3"/>
      <c r="J1134" s="3" t="s">
        <v>1990</v>
      </c>
      <c r="K1134" s="3" t="s">
        <v>2032</v>
      </c>
      <c r="L1134" s="3"/>
      <c r="M1134" s="3" t="s">
        <v>2033</v>
      </c>
      <c r="N1134" s="3" t="s">
        <v>2138</v>
      </c>
    </row>
    <row r="1135" spans="1:14" x14ac:dyDescent="0.45">
      <c r="A1135" s="3" t="s">
        <v>2192</v>
      </c>
      <c r="B1135" s="3" t="s">
        <v>2198</v>
      </c>
      <c r="C1135" s="3" t="s">
        <v>888</v>
      </c>
      <c r="D1135" s="3" t="s">
        <v>1316</v>
      </c>
      <c r="E1135" s="3" t="s">
        <v>1317</v>
      </c>
      <c r="F1135" s="79">
        <v>55</v>
      </c>
      <c r="G1135" s="3" t="s">
        <v>1221</v>
      </c>
      <c r="H1135" s="3" t="s">
        <v>2137</v>
      </c>
      <c r="I1135" s="3"/>
      <c r="J1135" s="3" t="s">
        <v>1990</v>
      </c>
      <c r="K1135" s="3" t="s">
        <v>2037</v>
      </c>
      <c r="L1135" s="3"/>
      <c r="M1135" s="3" t="s">
        <v>2038</v>
      </c>
      <c r="N1135" s="3" t="s">
        <v>2149</v>
      </c>
    </row>
    <row r="1136" spans="1:14" x14ac:dyDescent="0.45">
      <c r="A1136" s="3" t="s">
        <v>2192</v>
      </c>
      <c r="B1136" s="3" t="s">
        <v>2199</v>
      </c>
      <c r="C1136" s="3" t="s">
        <v>890</v>
      </c>
      <c r="D1136" s="3" t="s">
        <v>1323</v>
      </c>
      <c r="E1136" s="3" t="s">
        <v>1324</v>
      </c>
      <c r="F1136" s="79">
        <v>70</v>
      </c>
      <c r="G1136" s="3" t="s">
        <v>1221</v>
      </c>
      <c r="H1136" s="3" t="s">
        <v>2137</v>
      </c>
      <c r="I1136" s="3"/>
      <c r="J1136" s="3" t="s">
        <v>1990</v>
      </c>
      <c r="K1136" s="3" t="s">
        <v>2040</v>
      </c>
      <c r="L1136" s="3"/>
      <c r="M1136" s="3" t="s">
        <v>2041</v>
      </c>
      <c r="N1136" s="3" t="s">
        <v>2151</v>
      </c>
    </row>
    <row r="1137" spans="1:14" x14ac:dyDescent="0.45">
      <c r="A1137" s="3" t="s">
        <v>2192</v>
      </c>
      <c r="B1137" s="3" t="s">
        <v>2200</v>
      </c>
      <c r="C1137" s="3" t="s">
        <v>858</v>
      </c>
      <c r="D1137" s="3" t="s">
        <v>1251</v>
      </c>
      <c r="E1137" s="3" t="s">
        <v>1252</v>
      </c>
      <c r="F1137" s="79">
        <v>200</v>
      </c>
      <c r="G1137" s="3" t="s">
        <v>1221</v>
      </c>
      <c r="H1137" s="3" t="s">
        <v>2137</v>
      </c>
      <c r="I1137" s="3"/>
      <c r="J1137" s="3" t="s">
        <v>1990</v>
      </c>
      <c r="K1137" s="3" t="s">
        <v>2032</v>
      </c>
      <c r="L1137" s="3"/>
      <c r="M1137" s="3" t="s">
        <v>2033</v>
      </c>
      <c r="N1137" s="3" t="s">
        <v>2153</v>
      </c>
    </row>
    <row r="1138" spans="1:14" x14ac:dyDescent="0.45">
      <c r="A1138" s="3" t="s">
        <v>2192</v>
      </c>
      <c r="B1138" s="3" t="s">
        <v>2201</v>
      </c>
      <c r="C1138" s="3" t="s">
        <v>860</v>
      </c>
      <c r="D1138" s="3" t="s">
        <v>1251</v>
      </c>
      <c r="E1138" s="3" t="s">
        <v>1252</v>
      </c>
      <c r="F1138" s="79">
        <v>250</v>
      </c>
      <c r="G1138" s="3" t="s">
        <v>1221</v>
      </c>
      <c r="H1138" s="3" t="s">
        <v>2137</v>
      </c>
      <c r="I1138" s="3"/>
      <c r="J1138" s="3" t="s">
        <v>1990</v>
      </c>
      <c r="K1138" s="3" t="s">
        <v>2037</v>
      </c>
      <c r="L1138" s="3"/>
      <c r="M1138" s="3" t="s">
        <v>2038</v>
      </c>
      <c r="N1138" s="3" t="s">
        <v>2155</v>
      </c>
    </row>
    <row r="1139" spans="1:14" x14ac:dyDescent="0.45">
      <c r="A1139" s="3" t="s">
        <v>2192</v>
      </c>
      <c r="B1139" s="3" t="s">
        <v>2202</v>
      </c>
      <c r="C1139" s="3" t="s">
        <v>862</v>
      </c>
      <c r="D1139" s="3" t="s">
        <v>1251</v>
      </c>
      <c r="E1139" s="3" t="s">
        <v>1252</v>
      </c>
      <c r="F1139" s="79">
        <v>285</v>
      </c>
      <c r="G1139" s="3" t="s">
        <v>1221</v>
      </c>
      <c r="H1139" s="3" t="s">
        <v>2137</v>
      </c>
      <c r="I1139" s="3"/>
      <c r="J1139" s="3" t="s">
        <v>1990</v>
      </c>
      <c r="K1139" s="3" t="s">
        <v>2040</v>
      </c>
      <c r="L1139" s="3"/>
      <c r="M1139" s="3" t="s">
        <v>2041</v>
      </c>
      <c r="N1139" s="3" t="s">
        <v>2157</v>
      </c>
    </row>
    <row r="1140" spans="1:14" x14ac:dyDescent="0.45">
      <c r="A1140" s="3" t="s">
        <v>2192</v>
      </c>
      <c r="B1140" s="3" t="s">
        <v>2203</v>
      </c>
      <c r="C1140" s="3" t="s">
        <v>864</v>
      </c>
      <c r="D1140" s="3" t="s">
        <v>1251</v>
      </c>
      <c r="E1140" s="3" t="s">
        <v>1252</v>
      </c>
      <c r="F1140" s="79">
        <v>352</v>
      </c>
      <c r="G1140" s="3" t="s">
        <v>1221</v>
      </c>
      <c r="H1140" s="3" t="s">
        <v>2137</v>
      </c>
      <c r="I1140" s="3"/>
      <c r="J1140" s="3" t="s">
        <v>1990</v>
      </c>
      <c r="K1140" s="3" t="s">
        <v>2043</v>
      </c>
      <c r="L1140" s="3"/>
      <c r="M1140" s="3" t="s">
        <v>2044</v>
      </c>
      <c r="N1140" s="3" t="s">
        <v>2159</v>
      </c>
    </row>
    <row r="1141" spans="1:14" x14ac:dyDescent="0.45">
      <c r="A1141" s="3" t="s">
        <v>2192</v>
      </c>
      <c r="B1141" s="3" t="s">
        <v>2204</v>
      </c>
      <c r="C1141" s="3" t="s">
        <v>892</v>
      </c>
      <c r="D1141" s="3" t="s">
        <v>2047</v>
      </c>
      <c r="E1141" s="3" t="s">
        <v>1252</v>
      </c>
      <c r="F1141" s="79">
        <v>90</v>
      </c>
      <c r="G1141" s="3" t="s">
        <v>1221</v>
      </c>
      <c r="H1141" s="3" t="s">
        <v>2137</v>
      </c>
      <c r="I1141" s="3"/>
      <c r="J1141" s="3" t="s">
        <v>1990</v>
      </c>
      <c r="K1141" s="3" t="s">
        <v>2043</v>
      </c>
      <c r="L1141" s="3"/>
      <c r="M1141" s="3" t="s">
        <v>2044</v>
      </c>
      <c r="N1141" s="3" t="s">
        <v>2161</v>
      </c>
    </row>
    <row r="1142" spans="1:14" x14ac:dyDescent="0.45">
      <c r="A1142" s="3" t="s">
        <v>2192</v>
      </c>
      <c r="B1142" s="3" t="s">
        <v>2205</v>
      </c>
      <c r="C1142" s="3" t="s">
        <v>894</v>
      </c>
      <c r="D1142" s="3" t="s">
        <v>1255</v>
      </c>
      <c r="E1142" s="3" t="s">
        <v>1332</v>
      </c>
      <c r="F1142" s="79">
        <v>100</v>
      </c>
      <c r="G1142" s="3" t="s">
        <v>1221</v>
      </c>
      <c r="H1142" s="3" t="s">
        <v>2137</v>
      </c>
      <c r="I1142" s="3"/>
      <c r="J1142" s="3" t="s">
        <v>1990</v>
      </c>
      <c r="K1142" s="3" t="s">
        <v>2084</v>
      </c>
      <c r="L1142" s="3"/>
      <c r="M1142" s="3" t="s">
        <v>2085</v>
      </c>
      <c r="N1142" s="3" t="s">
        <v>2163</v>
      </c>
    </row>
    <row r="1143" spans="1:14" x14ac:dyDescent="0.45">
      <c r="A1143" s="3" t="s">
        <v>2192</v>
      </c>
      <c r="B1143" s="3" t="s">
        <v>2206</v>
      </c>
      <c r="C1143" s="3" t="s">
        <v>896</v>
      </c>
      <c r="D1143" s="3" t="s">
        <v>1338</v>
      </c>
      <c r="E1143" s="3" t="s">
        <v>1339</v>
      </c>
      <c r="F1143" s="79">
        <v>130</v>
      </c>
      <c r="G1143" s="3" t="s">
        <v>1221</v>
      </c>
      <c r="H1143" s="3" t="s">
        <v>2137</v>
      </c>
      <c r="I1143" s="3"/>
      <c r="J1143" s="3" t="s">
        <v>1990</v>
      </c>
      <c r="K1143" s="3" t="s">
        <v>2051</v>
      </c>
      <c r="L1143" s="3"/>
      <c r="M1143" s="3" t="s">
        <v>2052</v>
      </c>
      <c r="N1143" s="3" t="s">
        <v>2165</v>
      </c>
    </row>
    <row r="1144" spans="1:14" x14ac:dyDescent="0.45">
      <c r="A1144" s="3" t="s">
        <v>2192</v>
      </c>
      <c r="B1144" s="3" t="s">
        <v>2207</v>
      </c>
      <c r="C1144" s="3" t="s">
        <v>898</v>
      </c>
      <c r="D1144" s="3" t="s">
        <v>1345</v>
      </c>
      <c r="E1144" s="3" t="s">
        <v>1346</v>
      </c>
      <c r="F1144" s="79">
        <v>140</v>
      </c>
      <c r="G1144" s="3" t="s">
        <v>1221</v>
      </c>
      <c r="H1144" s="3" t="s">
        <v>2137</v>
      </c>
      <c r="I1144" s="3"/>
      <c r="J1144" s="3" t="s">
        <v>1990</v>
      </c>
      <c r="K1144" s="3" t="s">
        <v>2054</v>
      </c>
      <c r="L1144" s="3"/>
      <c r="M1144" s="3" t="s">
        <v>2055</v>
      </c>
      <c r="N1144" s="3" t="s">
        <v>2167</v>
      </c>
    </row>
    <row r="1145" spans="1:14" x14ac:dyDescent="0.45">
      <c r="A1145" s="3" t="s">
        <v>2192</v>
      </c>
      <c r="B1145" s="3" t="s">
        <v>2208</v>
      </c>
      <c r="C1145" s="3" t="s">
        <v>866</v>
      </c>
      <c r="D1145" s="3" t="s">
        <v>1255</v>
      </c>
      <c r="E1145" s="3" t="s">
        <v>1256</v>
      </c>
      <c r="F1145" s="79">
        <v>510</v>
      </c>
      <c r="G1145" s="3" t="s">
        <v>1221</v>
      </c>
      <c r="H1145" s="3" t="s">
        <v>2137</v>
      </c>
      <c r="I1145" s="3"/>
      <c r="J1145" s="3" t="s">
        <v>1990</v>
      </c>
      <c r="K1145" s="3" t="s">
        <v>2084</v>
      </c>
      <c r="L1145" s="3"/>
      <c r="M1145" s="3" t="s">
        <v>2085</v>
      </c>
      <c r="N1145" s="3" t="s">
        <v>2169</v>
      </c>
    </row>
    <row r="1146" spans="1:14" x14ac:dyDescent="0.45">
      <c r="A1146" s="3" t="s">
        <v>2192</v>
      </c>
      <c r="B1146" s="3" t="s">
        <v>2209</v>
      </c>
      <c r="C1146" s="3" t="s">
        <v>868</v>
      </c>
      <c r="D1146" s="3" t="s">
        <v>1255</v>
      </c>
      <c r="E1146" s="3" t="s">
        <v>1256</v>
      </c>
      <c r="F1146" s="79">
        <v>540</v>
      </c>
      <c r="G1146" s="3" t="s">
        <v>1221</v>
      </c>
      <c r="H1146" s="3" t="s">
        <v>2137</v>
      </c>
      <c r="I1146" s="3"/>
      <c r="J1146" s="3" t="s">
        <v>1990</v>
      </c>
      <c r="K1146" s="3" t="s">
        <v>2051</v>
      </c>
      <c r="L1146" s="3"/>
      <c r="M1146" s="3" t="s">
        <v>2052</v>
      </c>
      <c r="N1146" s="3" t="s">
        <v>2171</v>
      </c>
    </row>
    <row r="1147" spans="1:14" x14ac:dyDescent="0.45">
      <c r="A1147" s="3" t="s">
        <v>2192</v>
      </c>
      <c r="B1147" s="3" t="s">
        <v>2210</v>
      </c>
      <c r="C1147" s="3" t="s">
        <v>870</v>
      </c>
      <c r="D1147" s="3" t="s">
        <v>1255</v>
      </c>
      <c r="E1147" s="3" t="s">
        <v>1256</v>
      </c>
      <c r="F1147" s="79">
        <v>565</v>
      </c>
      <c r="G1147" s="3" t="s">
        <v>1221</v>
      </c>
      <c r="H1147" s="3" t="s">
        <v>2137</v>
      </c>
      <c r="I1147" s="3"/>
      <c r="J1147" s="3" t="s">
        <v>1990</v>
      </c>
      <c r="K1147" s="3" t="s">
        <v>2054</v>
      </c>
      <c r="L1147" s="3"/>
      <c r="M1147" s="3" t="s">
        <v>2055</v>
      </c>
      <c r="N1147" s="3" t="s">
        <v>2173</v>
      </c>
    </row>
    <row r="1148" spans="1:14" x14ac:dyDescent="0.45">
      <c r="A1148" s="3" t="s">
        <v>2192</v>
      </c>
      <c r="B1148" s="3" t="s">
        <v>2211</v>
      </c>
      <c r="C1148" s="3" t="s">
        <v>872</v>
      </c>
      <c r="D1148" s="3" t="s">
        <v>1255</v>
      </c>
      <c r="E1148" s="3" t="s">
        <v>1256</v>
      </c>
      <c r="F1148" s="79">
        <v>610</v>
      </c>
      <c r="G1148" s="3" t="s">
        <v>1221</v>
      </c>
      <c r="H1148" s="3" t="s">
        <v>2137</v>
      </c>
      <c r="I1148" s="3"/>
      <c r="J1148" s="3" t="s">
        <v>1990</v>
      </c>
      <c r="K1148" s="3" t="s">
        <v>2057</v>
      </c>
      <c r="L1148" s="3"/>
      <c r="M1148" s="3" t="s">
        <v>2058</v>
      </c>
      <c r="N1148" s="3" t="s">
        <v>2175</v>
      </c>
    </row>
    <row r="1149" spans="1:14" x14ac:dyDescent="0.45">
      <c r="A1149" s="3" t="s">
        <v>2192</v>
      </c>
      <c r="B1149" s="3" t="s">
        <v>2212</v>
      </c>
      <c r="C1149" s="3" t="s">
        <v>900</v>
      </c>
      <c r="D1149" s="3" t="s">
        <v>2061</v>
      </c>
      <c r="E1149" s="3" t="s">
        <v>1256</v>
      </c>
      <c r="F1149" s="79">
        <v>140</v>
      </c>
      <c r="G1149" s="3" t="s">
        <v>1221</v>
      </c>
      <c r="H1149" s="3" t="s">
        <v>2137</v>
      </c>
      <c r="I1149" s="3"/>
      <c r="J1149" s="3" t="s">
        <v>1990</v>
      </c>
      <c r="K1149" s="3" t="s">
        <v>2057</v>
      </c>
      <c r="L1149" s="3"/>
      <c r="M1149" s="3" t="s">
        <v>2058</v>
      </c>
      <c r="N1149" s="3" t="s">
        <v>2167</v>
      </c>
    </row>
    <row r="1150" spans="1:14" x14ac:dyDescent="0.45">
      <c r="A1150" s="3" t="s">
        <v>2192</v>
      </c>
      <c r="B1150" s="3" t="s">
        <v>2213</v>
      </c>
      <c r="C1150" s="3" t="s">
        <v>902</v>
      </c>
      <c r="D1150" s="3" t="s">
        <v>1351</v>
      </c>
      <c r="E1150" s="3" t="s">
        <v>1352</v>
      </c>
      <c r="F1150" s="79">
        <v>160</v>
      </c>
      <c r="G1150" s="3" t="s">
        <v>1221</v>
      </c>
      <c r="H1150" s="3" t="s">
        <v>2137</v>
      </c>
      <c r="I1150" s="3"/>
      <c r="J1150" s="3" t="s">
        <v>1990</v>
      </c>
      <c r="K1150" s="3" t="s">
        <v>2048</v>
      </c>
      <c r="L1150" s="3"/>
      <c r="M1150" s="3" t="s">
        <v>2049</v>
      </c>
      <c r="N1150" s="3" t="s">
        <v>2178</v>
      </c>
    </row>
    <row r="1151" spans="1:14" x14ac:dyDescent="0.45">
      <c r="A1151" s="3" t="s">
        <v>2192</v>
      </c>
      <c r="B1151" s="3" t="s">
        <v>2214</v>
      </c>
      <c r="C1151" s="3" t="s">
        <v>904</v>
      </c>
      <c r="D1151" s="3" t="s">
        <v>1355</v>
      </c>
      <c r="E1151" s="3" t="s">
        <v>1356</v>
      </c>
      <c r="F1151" s="79">
        <v>185</v>
      </c>
      <c r="G1151" s="3" t="s">
        <v>1221</v>
      </c>
      <c r="H1151" s="3" t="s">
        <v>2137</v>
      </c>
      <c r="I1151" s="3"/>
      <c r="J1151" s="3" t="s">
        <v>1990</v>
      </c>
      <c r="K1151" s="3" t="s">
        <v>2062</v>
      </c>
      <c r="L1151" s="3"/>
      <c r="M1151" s="3" t="s">
        <v>2063</v>
      </c>
      <c r="N1151" s="3" t="s">
        <v>2180</v>
      </c>
    </row>
    <row r="1152" spans="1:14" x14ac:dyDescent="0.45">
      <c r="A1152" s="3" t="s">
        <v>2192</v>
      </c>
      <c r="B1152" s="3" t="s">
        <v>2215</v>
      </c>
      <c r="C1152" s="3" t="s">
        <v>846</v>
      </c>
      <c r="D1152" s="3" t="s">
        <v>2182</v>
      </c>
      <c r="E1152" s="3" t="s">
        <v>2183</v>
      </c>
      <c r="F1152" s="79">
        <v>210</v>
      </c>
      <c r="G1152" s="3" t="s">
        <v>1221</v>
      </c>
      <c r="H1152" s="3" t="s">
        <v>2137</v>
      </c>
      <c r="I1152" s="3"/>
      <c r="J1152" s="3" t="s">
        <v>1990</v>
      </c>
      <c r="K1152" s="3" t="s">
        <v>2065</v>
      </c>
      <c r="L1152" s="3"/>
      <c r="M1152" s="3" t="s">
        <v>2066</v>
      </c>
      <c r="N1152" s="3" t="s">
        <v>2184</v>
      </c>
    </row>
    <row r="1153" spans="1:14" x14ac:dyDescent="0.45">
      <c r="A1153" s="3" t="s">
        <v>2192</v>
      </c>
      <c r="B1153" s="3" t="s">
        <v>2216</v>
      </c>
      <c r="C1153" s="3" t="s">
        <v>874</v>
      </c>
      <c r="D1153" s="3" t="s">
        <v>1351</v>
      </c>
      <c r="E1153" s="3" t="s">
        <v>2186</v>
      </c>
      <c r="F1153" s="79">
        <v>775</v>
      </c>
      <c r="G1153" s="3" t="s">
        <v>1221</v>
      </c>
      <c r="H1153" s="3" t="s">
        <v>2137</v>
      </c>
      <c r="I1153" s="3"/>
      <c r="J1153" s="3" t="s">
        <v>1990</v>
      </c>
      <c r="K1153" s="3" t="s">
        <v>2048</v>
      </c>
      <c r="L1153" s="3"/>
      <c r="M1153" s="3" t="s">
        <v>2049</v>
      </c>
      <c r="N1153" s="3" t="s">
        <v>2187</v>
      </c>
    </row>
    <row r="1154" spans="1:14" x14ac:dyDescent="0.45">
      <c r="A1154" s="3" t="s">
        <v>2192</v>
      </c>
      <c r="B1154" s="3" t="s">
        <v>2217</v>
      </c>
      <c r="C1154" s="3" t="s">
        <v>876</v>
      </c>
      <c r="D1154" s="3" t="s">
        <v>1351</v>
      </c>
      <c r="E1154" s="3" t="s">
        <v>2186</v>
      </c>
      <c r="F1154" s="79">
        <v>790</v>
      </c>
      <c r="G1154" s="3" t="s">
        <v>1221</v>
      </c>
      <c r="H1154" s="3" t="s">
        <v>2137</v>
      </c>
      <c r="I1154" s="3"/>
      <c r="J1154" s="3" t="s">
        <v>1990</v>
      </c>
      <c r="K1154" s="3" t="s">
        <v>2062</v>
      </c>
      <c r="L1154" s="3"/>
      <c r="M1154" s="3" t="s">
        <v>2063</v>
      </c>
      <c r="N1154" s="3" t="s">
        <v>2189</v>
      </c>
    </row>
    <row r="1155" spans="1:14" x14ac:dyDescent="0.45">
      <c r="A1155" s="3" t="s">
        <v>2192</v>
      </c>
      <c r="B1155" s="3" t="s">
        <v>2218</v>
      </c>
      <c r="C1155" s="3" t="s">
        <v>842</v>
      </c>
      <c r="D1155" s="3" t="s">
        <v>1351</v>
      </c>
      <c r="E1155" s="3" t="s">
        <v>2186</v>
      </c>
      <c r="F1155" s="79">
        <v>805</v>
      </c>
      <c r="G1155" s="3" t="s">
        <v>1221</v>
      </c>
      <c r="H1155" s="3" t="s">
        <v>2137</v>
      </c>
      <c r="I1155" s="3"/>
      <c r="J1155" s="3" t="s">
        <v>1990</v>
      </c>
      <c r="K1155" s="3" t="s">
        <v>2065</v>
      </c>
      <c r="L1155" s="3"/>
      <c r="M1155" s="3" t="s">
        <v>2066</v>
      </c>
      <c r="N1155" s="3" t="s">
        <v>2191</v>
      </c>
    </row>
    <row r="1156" spans="1:14" x14ac:dyDescent="0.45">
      <c r="A1156" s="3" t="s">
        <v>2219</v>
      </c>
      <c r="B1156" s="3" t="s">
        <v>2220</v>
      </c>
      <c r="C1156" s="3" t="s">
        <v>886</v>
      </c>
      <c r="D1156" s="3" t="s">
        <v>1251</v>
      </c>
      <c r="E1156" s="3" t="s">
        <v>1310</v>
      </c>
      <c r="F1156" s="79">
        <v>285</v>
      </c>
      <c r="G1156" s="3" t="s">
        <v>1221</v>
      </c>
      <c r="H1156" s="3" t="s">
        <v>2137</v>
      </c>
      <c r="I1156" s="3"/>
      <c r="J1156" s="3" t="s">
        <v>1990</v>
      </c>
      <c r="K1156" s="3" t="s">
        <v>2032</v>
      </c>
      <c r="L1156" s="3"/>
      <c r="M1156" s="3" t="s">
        <v>2033</v>
      </c>
      <c r="N1156" s="3" t="s">
        <v>2221</v>
      </c>
    </row>
    <row r="1157" spans="1:14" x14ac:dyDescent="0.45">
      <c r="A1157" s="3" t="s">
        <v>2219</v>
      </c>
      <c r="B1157" s="3" t="s">
        <v>2222</v>
      </c>
      <c r="C1157" s="3" t="s">
        <v>888</v>
      </c>
      <c r="D1157" s="3" t="s">
        <v>1316</v>
      </c>
      <c r="E1157" s="3" t="s">
        <v>1317</v>
      </c>
      <c r="F1157" s="79">
        <v>330</v>
      </c>
      <c r="G1157" s="3" t="s">
        <v>1221</v>
      </c>
      <c r="H1157" s="3" t="s">
        <v>2137</v>
      </c>
      <c r="I1157" s="3"/>
      <c r="J1157" s="3" t="s">
        <v>1990</v>
      </c>
      <c r="K1157" s="3" t="s">
        <v>2037</v>
      </c>
      <c r="L1157" s="3"/>
      <c r="M1157" s="3" t="s">
        <v>2038</v>
      </c>
      <c r="N1157" s="3" t="s">
        <v>2223</v>
      </c>
    </row>
    <row r="1158" spans="1:14" x14ac:dyDescent="0.45">
      <c r="A1158" s="3" t="s">
        <v>2219</v>
      </c>
      <c r="B1158" s="3" t="s">
        <v>2224</v>
      </c>
      <c r="C1158" s="3" t="s">
        <v>890</v>
      </c>
      <c r="D1158" s="3" t="s">
        <v>1323</v>
      </c>
      <c r="E1158" s="3" t="s">
        <v>1324</v>
      </c>
      <c r="F1158" s="79">
        <v>355</v>
      </c>
      <c r="G1158" s="3" t="s">
        <v>1221</v>
      </c>
      <c r="H1158" s="3" t="s">
        <v>2137</v>
      </c>
      <c r="I1158" s="3"/>
      <c r="J1158" s="3" t="s">
        <v>1990</v>
      </c>
      <c r="K1158" s="3" t="s">
        <v>2040</v>
      </c>
      <c r="L1158" s="3"/>
      <c r="M1158" s="3" t="s">
        <v>2041</v>
      </c>
      <c r="N1158" s="3" t="s">
        <v>2225</v>
      </c>
    </row>
    <row r="1159" spans="1:14" x14ac:dyDescent="0.45">
      <c r="A1159" s="3" t="s">
        <v>2219</v>
      </c>
      <c r="B1159" s="3" t="s">
        <v>2226</v>
      </c>
      <c r="C1159" s="3" t="s">
        <v>858</v>
      </c>
      <c r="D1159" s="3" t="s">
        <v>1251</v>
      </c>
      <c r="E1159" s="3" t="s">
        <v>1252</v>
      </c>
      <c r="F1159" s="79">
        <v>1320</v>
      </c>
      <c r="G1159" s="3" t="s">
        <v>1221</v>
      </c>
      <c r="H1159" s="3" t="s">
        <v>2137</v>
      </c>
      <c r="I1159" s="3"/>
      <c r="J1159" s="3" t="s">
        <v>1990</v>
      </c>
      <c r="K1159" s="3" t="s">
        <v>2032</v>
      </c>
      <c r="L1159" s="3"/>
      <c r="M1159" s="3" t="s">
        <v>2033</v>
      </c>
      <c r="N1159" s="3" t="s">
        <v>2227</v>
      </c>
    </row>
    <row r="1160" spans="1:14" x14ac:dyDescent="0.45">
      <c r="A1160" s="3" t="s">
        <v>2219</v>
      </c>
      <c r="B1160" s="3" t="s">
        <v>2228</v>
      </c>
      <c r="C1160" s="3" t="s">
        <v>860</v>
      </c>
      <c r="D1160" s="3" t="s">
        <v>1251</v>
      </c>
      <c r="E1160" s="3" t="s">
        <v>1252</v>
      </c>
      <c r="F1160" s="79">
        <v>1345</v>
      </c>
      <c r="G1160" s="3" t="s">
        <v>1221</v>
      </c>
      <c r="H1160" s="3" t="s">
        <v>2137</v>
      </c>
      <c r="I1160" s="3"/>
      <c r="J1160" s="3" t="s">
        <v>1990</v>
      </c>
      <c r="K1160" s="3" t="s">
        <v>2037</v>
      </c>
      <c r="L1160" s="3"/>
      <c r="M1160" s="3" t="s">
        <v>2038</v>
      </c>
      <c r="N1160" s="3" t="s">
        <v>2229</v>
      </c>
    </row>
    <row r="1161" spans="1:14" x14ac:dyDescent="0.45">
      <c r="A1161" s="3" t="s">
        <v>2219</v>
      </c>
      <c r="B1161" s="3" t="s">
        <v>2230</v>
      </c>
      <c r="C1161" s="3" t="s">
        <v>862</v>
      </c>
      <c r="D1161" s="3" t="s">
        <v>1251</v>
      </c>
      <c r="E1161" s="3" t="s">
        <v>1252</v>
      </c>
      <c r="F1161" s="79">
        <v>1360</v>
      </c>
      <c r="G1161" s="3" t="s">
        <v>1221</v>
      </c>
      <c r="H1161" s="3" t="s">
        <v>2137</v>
      </c>
      <c r="I1161" s="3"/>
      <c r="J1161" s="3" t="s">
        <v>1990</v>
      </c>
      <c r="K1161" s="3" t="s">
        <v>2040</v>
      </c>
      <c r="L1161" s="3"/>
      <c r="M1161" s="3" t="s">
        <v>2041</v>
      </c>
      <c r="N1161" s="3" t="s">
        <v>2231</v>
      </c>
    </row>
    <row r="1162" spans="1:14" x14ac:dyDescent="0.45">
      <c r="A1162" s="3" t="s">
        <v>2219</v>
      </c>
      <c r="B1162" s="3" t="s">
        <v>2232</v>
      </c>
      <c r="C1162" s="3" t="s">
        <v>864</v>
      </c>
      <c r="D1162" s="3" t="s">
        <v>1251</v>
      </c>
      <c r="E1162" s="3" t="s">
        <v>1252</v>
      </c>
      <c r="F1162" s="79">
        <v>1405</v>
      </c>
      <c r="G1162" s="3" t="s">
        <v>1221</v>
      </c>
      <c r="H1162" s="3" t="s">
        <v>2137</v>
      </c>
      <c r="I1162" s="3"/>
      <c r="J1162" s="3" t="s">
        <v>1990</v>
      </c>
      <c r="K1162" s="3" t="s">
        <v>2043</v>
      </c>
      <c r="L1162" s="3"/>
      <c r="M1162" s="3" t="s">
        <v>2044</v>
      </c>
      <c r="N1162" s="3" t="s">
        <v>2233</v>
      </c>
    </row>
    <row r="1163" spans="1:14" x14ac:dyDescent="0.45">
      <c r="A1163" s="3" t="s">
        <v>2219</v>
      </c>
      <c r="B1163" s="3" t="s">
        <v>2234</v>
      </c>
      <c r="C1163" s="3" t="s">
        <v>892</v>
      </c>
      <c r="D1163" s="3" t="s">
        <v>2047</v>
      </c>
      <c r="E1163" s="3" t="s">
        <v>1252</v>
      </c>
      <c r="F1163" s="79">
        <v>380</v>
      </c>
      <c r="G1163" s="3" t="s">
        <v>1221</v>
      </c>
      <c r="H1163" s="3" t="s">
        <v>2137</v>
      </c>
      <c r="I1163" s="3"/>
      <c r="J1163" s="3" t="s">
        <v>1990</v>
      </c>
      <c r="K1163" s="3" t="s">
        <v>2043</v>
      </c>
      <c r="L1163" s="3"/>
      <c r="M1163" s="3" t="s">
        <v>2044</v>
      </c>
      <c r="N1163" s="3" t="s">
        <v>2235</v>
      </c>
    </row>
    <row r="1164" spans="1:14" x14ac:dyDescent="0.45">
      <c r="A1164" s="3" t="s">
        <v>2219</v>
      </c>
      <c r="B1164" s="3" t="s">
        <v>2236</v>
      </c>
      <c r="C1164" s="3" t="s">
        <v>894</v>
      </c>
      <c r="D1164" s="3" t="s">
        <v>1255</v>
      </c>
      <c r="E1164" s="3" t="s">
        <v>1332</v>
      </c>
      <c r="F1164" s="79">
        <v>395</v>
      </c>
      <c r="G1164" s="3" t="s">
        <v>1221</v>
      </c>
      <c r="H1164" s="3" t="s">
        <v>2137</v>
      </c>
      <c r="I1164" s="3"/>
      <c r="J1164" s="3" t="s">
        <v>1990</v>
      </c>
      <c r="K1164" s="3" t="s">
        <v>2084</v>
      </c>
      <c r="L1164" s="3"/>
      <c r="M1164" s="3" t="s">
        <v>2085</v>
      </c>
      <c r="N1164" s="3" t="s">
        <v>2237</v>
      </c>
    </row>
    <row r="1165" spans="1:14" x14ac:dyDescent="0.45">
      <c r="A1165" s="3" t="s">
        <v>2219</v>
      </c>
      <c r="B1165" s="3" t="s">
        <v>2238</v>
      </c>
      <c r="C1165" s="3" t="s">
        <v>896</v>
      </c>
      <c r="D1165" s="3" t="s">
        <v>1338</v>
      </c>
      <c r="E1165" s="3" t="s">
        <v>1339</v>
      </c>
      <c r="F1165" s="79">
        <v>445</v>
      </c>
      <c r="G1165" s="3" t="s">
        <v>1221</v>
      </c>
      <c r="H1165" s="3" t="s">
        <v>2137</v>
      </c>
      <c r="I1165" s="3"/>
      <c r="J1165" s="3" t="s">
        <v>1990</v>
      </c>
      <c r="K1165" s="3" t="s">
        <v>2051</v>
      </c>
      <c r="L1165" s="3"/>
      <c r="M1165" s="3" t="s">
        <v>2052</v>
      </c>
      <c r="N1165" s="3" t="s">
        <v>2239</v>
      </c>
    </row>
    <row r="1166" spans="1:14" x14ac:dyDescent="0.45">
      <c r="A1166" s="3" t="s">
        <v>2219</v>
      </c>
      <c r="B1166" s="3" t="s">
        <v>2240</v>
      </c>
      <c r="C1166" s="3" t="s">
        <v>898</v>
      </c>
      <c r="D1166" s="3" t="s">
        <v>1345</v>
      </c>
      <c r="E1166" s="3" t="s">
        <v>1346</v>
      </c>
      <c r="F1166" s="79">
        <v>475</v>
      </c>
      <c r="G1166" s="3" t="s">
        <v>1221</v>
      </c>
      <c r="H1166" s="3" t="s">
        <v>2137</v>
      </c>
      <c r="I1166" s="3"/>
      <c r="J1166" s="3" t="s">
        <v>1990</v>
      </c>
      <c r="K1166" s="3" t="s">
        <v>2054</v>
      </c>
      <c r="L1166" s="3"/>
      <c r="M1166" s="3" t="s">
        <v>2055</v>
      </c>
      <c r="N1166" s="3" t="s">
        <v>2241</v>
      </c>
    </row>
    <row r="1167" spans="1:14" x14ac:dyDescent="0.45">
      <c r="A1167" s="3" t="s">
        <v>2219</v>
      </c>
      <c r="B1167" s="3" t="s">
        <v>2242</v>
      </c>
      <c r="C1167" s="3" t="s">
        <v>866</v>
      </c>
      <c r="D1167" s="3" t="s">
        <v>1255</v>
      </c>
      <c r="E1167" s="3" t="s">
        <v>1256</v>
      </c>
      <c r="F1167" s="79">
        <v>1765</v>
      </c>
      <c r="G1167" s="3" t="s">
        <v>1221</v>
      </c>
      <c r="H1167" s="3" t="s">
        <v>2137</v>
      </c>
      <c r="I1167" s="3"/>
      <c r="J1167" s="3" t="s">
        <v>1990</v>
      </c>
      <c r="K1167" s="3" t="s">
        <v>2084</v>
      </c>
      <c r="L1167" s="3"/>
      <c r="M1167" s="3" t="s">
        <v>2085</v>
      </c>
      <c r="N1167" s="3" t="s">
        <v>2243</v>
      </c>
    </row>
    <row r="1168" spans="1:14" x14ac:dyDescent="0.45">
      <c r="A1168" s="3" t="s">
        <v>2219</v>
      </c>
      <c r="B1168" s="3" t="s">
        <v>2244</v>
      </c>
      <c r="C1168" s="3" t="s">
        <v>868</v>
      </c>
      <c r="D1168" s="3" t="s">
        <v>1255</v>
      </c>
      <c r="E1168" s="3" t="s">
        <v>1256</v>
      </c>
      <c r="F1168" s="79">
        <v>1795</v>
      </c>
      <c r="G1168" s="3" t="s">
        <v>1221</v>
      </c>
      <c r="H1168" s="3" t="s">
        <v>2137</v>
      </c>
      <c r="I1168" s="3"/>
      <c r="J1168" s="3" t="s">
        <v>1990</v>
      </c>
      <c r="K1168" s="3" t="s">
        <v>2051</v>
      </c>
      <c r="L1168" s="3"/>
      <c r="M1168" s="3" t="s">
        <v>2052</v>
      </c>
      <c r="N1168" s="3" t="s">
        <v>2245</v>
      </c>
    </row>
    <row r="1169" spans="1:14" x14ac:dyDescent="0.45">
      <c r="A1169" s="3" t="s">
        <v>2219</v>
      </c>
      <c r="B1169" s="3" t="s">
        <v>2246</v>
      </c>
      <c r="C1169" s="3" t="s">
        <v>870</v>
      </c>
      <c r="D1169" s="3" t="s">
        <v>1255</v>
      </c>
      <c r="E1169" s="3" t="s">
        <v>1256</v>
      </c>
      <c r="F1169" s="79">
        <v>1835</v>
      </c>
      <c r="G1169" s="3" t="s">
        <v>1221</v>
      </c>
      <c r="H1169" s="3" t="s">
        <v>2137</v>
      </c>
      <c r="I1169" s="3"/>
      <c r="J1169" s="3" t="s">
        <v>1990</v>
      </c>
      <c r="K1169" s="3" t="s">
        <v>2054</v>
      </c>
      <c r="L1169" s="3"/>
      <c r="M1169" s="3" t="s">
        <v>2055</v>
      </c>
      <c r="N1169" s="3" t="s">
        <v>2247</v>
      </c>
    </row>
    <row r="1170" spans="1:14" x14ac:dyDescent="0.45">
      <c r="A1170" s="3" t="s">
        <v>2219</v>
      </c>
      <c r="B1170" s="3" t="s">
        <v>2248</v>
      </c>
      <c r="C1170" s="3" t="s">
        <v>872</v>
      </c>
      <c r="D1170" s="3" t="s">
        <v>1255</v>
      </c>
      <c r="E1170" s="3" t="s">
        <v>1256</v>
      </c>
      <c r="F1170" s="79">
        <v>1875</v>
      </c>
      <c r="G1170" s="3" t="s">
        <v>1221</v>
      </c>
      <c r="H1170" s="3" t="s">
        <v>2137</v>
      </c>
      <c r="I1170" s="3"/>
      <c r="J1170" s="3" t="s">
        <v>1990</v>
      </c>
      <c r="K1170" s="3" t="s">
        <v>2057</v>
      </c>
      <c r="L1170" s="3"/>
      <c r="M1170" s="3" t="s">
        <v>2058</v>
      </c>
      <c r="N1170" s="3" t="s">
        <v>2249</v>
      </c>
    </row>
    <row r="1171" spans="1:14" x14ac:dyDescent="0.45">
      <c r="A1171" s="3" t="s">
        <v>2219</v>
      </c>
      <c r="B1171" s="3" t="s">
        <v>2250</v>
      </c>
      <c r="C1171" s="3" t="s">
        <v>900</v>
      </c>
      <c r="D1171" s="3" t="s">
        <v>2061</v>
      </c>
      <c r="E1171" s="3" t="s">
        <v>1256</v>
      </c>
      <c r="F1171" s="79">
        <v>490</v>
      </c>
      <c r="G1171" s="3" t="s">
        <v>1221</v>
      </c>
      <c r="H1171" s="3" t="s">
        <v>2137</v>
      </c>
      <c r="I1171" s="3"/>
      <c r="J1171" s="3" t="s">
        <v>1990</v>
      </c>
      <c r="K1171" s="3" t="s">
        <v>2057</v>
      </c>
      <c r="L1171" s="3"/>
      <c r="M1171" s="3" t="s">
        <v>2058</v>
      </c>
      <c r="N1171" s="3" t="s">
        <v>2251</v>
      </c>
    </row>
    <row r="1172" spans="1:14" x14ac:dyDescent="0.45">
      <c r="A1172" s="3" t="s">
        <v>2219</v>
      </c>
      <c r="B1172" s="3" t="s">
        <v>2252</v>
      </c>
      <c r="C1172" s="3" t="s">
        <v>902</v>
      </c>
      <c r="D1172" s="3" t="s">
        <v>1351</v>
      </c>
      <c r="E1172" s="3" t="s">
        <v>1352</v>
      </c>
      <c r="F1172" s="79">
        <v>515</v>
      </c>
      <c r="G1172" s="3" t="s">
        <v>1221</v>
      </c>
      <c r="H1172" s="3" t="s">
        <v>2137</v>
      </c>
      <c r="I1172" s="3"/>
      <c r="J1172" s="3" t="s">
        <v>1990</v>
      </c>
      <c r="K1172" s="3" t="s">
        <v>2048</v>
      </c>
      <c r="L1172" s="3"/>
      <c r="M1172" s="3" t="s">
        <v>2049</v>
      </c>
      <c r="N1172" s="3" t="s">
        <v>2253</v>
      </c>
    </row>
    <row r="1173" spans="1:14" x14ac:dyDescent="0.45">
      <c r="A1173" s="3" t="s">
        <v>2219</v>
      </c>
      <c r="B1173" s="3" t="s">
        <v>2254</v>
      </c>
      <c r="C1173" s="3" t="s">
        <v>904</v>
      </c>
      <c r="D1173" s="3" t="s">
        <v>1355</v>
      </c>
      <c r="E1173" s="3" t="s">
        <v>1356</v>
      </c>
      <c r="F1173" s="79">
        <v>575</v>
      </c>
      <c r="G1173" s="3" t="s">
        <v>1221</v>
      </c>
      <c r="H1173" s="3" t="s">
        <v>2137</v>
      </c>
      <c r="I1173" s="3"/>
      <c r="J1173" s="3" t="s">
        <v>1990</v>
      </c>
      <c r="K1173" s="3" t="s">
        <v>2062</v>
      </c>
      <c r="L1173" s="3"/>
      <c r="M1173" s="3" t="s">
        <v>2063</v>
      </c>
      <c r="N1173" s="3" t="s">
        <v>2255</v>
      </c>
    </row>
    <row r="1174" spans="1:14" x14ac:dyDescent="0.45">
      <c r="A1174" s="3" t="s">
        <v>2219</v>
      </c>
      <c r="B1174" s="3" t="s">
        <v>2256</v>
      </c>
      <c r="C1174" s="3" t="s">
        <v>846</v>
      </c>
      <c r="D1174" s="3" t="s">
        <v>2182</v>
      </c>
      <c r="E1174" s="3" t="s">
        <v>2183</v>
      </c>
      <c r="F1174" s="79">
        <v>625</v>
      </c>
      <c r="G1174" s="3" t="s">
        <v>1221</v>
      </c>
      <c r="H1174" s="3" t="s">
        <v>2137</v>
      </c>
      <c r="I1174" s="3"/>
      <c r="J1174" s="3" t="s">
        <v>1990</v>
      </c>
      <c r="K1174" s="3" t="s">
        <v>2065</v>
      </c>
      <c r="L1174" s="3"/>
      <c r="M1174" s="3" t="s">
        <v>2066</v>
      </c>
      <c r="N1174" s="3" t="s">
        <v>2257</v>
      </c>
    </row>
    <row r="1175" spans="1:14" x14ac:dyDescent="0.45">
      <c r="A1175" s="3" t="s">
        <v>2219</v>
      </c>
      <c r="B1175" s="3" t="s">
        <v>2258</v>
      </c>
      <c r="C1175" s="3" t="s">
        <v>874</v>
      </c>
      <c r="D1175" s="3" t="s">
        <v>1351</v>
      </c>
      <c r="E1175" s="3" t="s">
        <v>2186</v>
      </c>
      <c r="F1175" s="79">
        <v>2300</v>
      </c>
      <c r="G1175" s="3" t="s">
        <v>1221</v>
      </c>
      <c r="H1175" s="3" t="s">
        <v>2137</v>
      </c>
      <c r="I1175" s="3"/>
      <c r="J1175" s="3" t="s">
        <v>1990</v>
      </c>
      <c r="K1175" s="3" t="s">
        <v>2048</v>
      </c>
      <c r="L1175" s="3"/>
      <c r="M1175" s="3" t="s">
        <v>2049</v>
      </c>
      <c r="N1175" s="3" t="s">
        <v>2259</v>
      </c>
    </row>
    <row r="1176" spans="1:14" x14ac:dyDescent="0.45">
      <c r="A1176" s="3" t="s">
        <v>2219</v>
      </c>
      <c r="B1176" s="3" t="s">
        <v>2260</v>
      </c>
      <c r="C1176" s="3" t="s">
        <v>876</v>
      </c>
      <c r="D1176" s="3" t="s">
        <v>1351</v>
      </c>
      <c r="E1176" s="3" t="s">
        <v>2186</v>
      </c>
      <c r="F1176" s="79">
        <v>2320</v>
      </c>
      <c r="G1176" s="3" t="s">
        <v>1221</v>
      </c>
      <c r="H1176" s="3" t="s">
        <v>2137</v>
      </c>
      <c r="I1176" s="3"/>
      <c r="J1176" s="3" t="s">
        <v>1990</v>
      </c>
      <c r="K1176" s="3" t="s">
        <v>2062</v>
      </c>
      <c r="L1176" s="3"/>
      <c r="M1176" s="3" t="s">
        <v>2063</v>
      </c>
      <c r="N1176" s="3" t="s">
        <v>2261</v>
      </c>
    </row>
    <row r="1177" spans="1:14" x14ac:dyDescent="0.45">
      <c r="A1177" s="3" t="s">
        <v>2219</v>
      </c>
      <c r="B1177" s="3" t="s">
        <v>2262</v>
      </c>
      <c r="C1177" s="3" t="s">
        <v>842</v>
      </c>
      <c r="D1177" s="3" t="s">
        <v>1351</v>
      </c>
      <c r="E1177" s="3" t="s">
        <v>2186</v>
      </c>
      <c r="F1177" s="79">
        <v>2355</v>
      </c>
      <c r="G1177" s="3" t="s">
        <v>1221</v>
      </c>
      <c r="H1177" s="3" t="s">
        <v>2137</v>
      </c>
      <c r="I1177" s="3"/>
      <c r="J1177" s="3" t="s">
        <v>1990</v>
      </c>
      <c r="K1177" s="3" t="s">
        <v>2065</v>
      </c>
      <c r="L1177" s="3"/>
      <c r="M1177" s="3" t="s">
        <v>2066</v>
      </c>
      <c r="N1177" s="3" t="s">
        <v>2263</v>
      </c>
    </row>
    <row r="1178" spans="1:14" x14ac:dyDescent="0.45">
      <c r="A1178" s="3" t="s">
        <v>2264</v>
      </c>
      <c r="B1178" s="3" t="s">
        <v>2265</v>
      </c>
      <c r="C1178" s="3" t="s">
        <v>886</v>
      </c>
      <c r="D1178" s="3" t="s">
        <v>1251</v>
      </c>
      <c r="E1178" s="3" t="s">
        <v>1310</v>
      </c>
      <c r="F1178" s="79">
        <v>275</v>
      </c>
      <c r="G1178" s="3" t="s">
        <v>1221</v>
      </c>
      <c r="H1178" s="3" t="s">
        <v>2137</v>
      </c>
      <c r="I1178" s="3"/>
      <c r="J1178" s="3" t="s">
        <v>1990</v>
      </c>
      <c r="K1178" s="3" t="s">
        <v>2032</v>
      </c>
      <c r="L1178" s="3"/>
      <c r="M1178" s="3" t="s">
        <v>2033</v>
      </c>
      <c r="N1178" s="3" t="s">
        <v>2221</v>
      </c>
    </row>
    <row r="1179" spans="1:14" x14ac:dyDescent="0.45">
      <c r="A1179" s="3" t="s">
        <v>2264</v>
      </c>
      <c r="B1179" s="3" t="s">
        <v>2266</v>
      </c>
      <c r="C1179" s="3" t="s">
        <v>888</v>
      </c>
      <c r="D1179" s="3" t="s">
        <v>1316</v>
      </c>
      <c r="E1179" s="3" t="s">
        <v>1317</v>
      </c>
      <c r="F1179" s="79">
        <v>320</v>
      </c>
      <c r="G1179" s="3" t="s">
        <v>1221</v>
      </c>
      <c r="H1179" s="3" t="s">
        <v>2137</v>
      </c>
      <c r="I1179" s="3"/>
      <c r="J1179" s="3" t="s">
        <v>1990</v>
      </c>
      <c r="K1179" s="3" t="s">
        <v>2037</v>
      </c>
      <c r="L1179" s="3"/>
      <c r="M1179" s="3" t="s">
        <v>2038</v>
      </c>
      <c r="N1179" s="3" t="s">
        <v>2223</v>
      </c>
    </row>
    <row r="1180" spans="1:14" x14ac:dyDescent="0.45">
      <c r="A1180" s="3" t="s">
        <v>2264</v>
      </c>
      <c r="B1180" s="3" t="s">
        <v>2267</v>
      </c>
      <c r="C1180" s="3" t="s">
        <v>890</v>
      </c>
      <c r="D1180" s="3" t="s">
        <v>1323</v>
      </c>
      <c r="E1180" s="3" t="s">
        <v>1324</v>
      </c>
      <c r="F1180" s="79">
        <v>345</v>
      </c>
      <c r="G1180" s="3" t="s">
        <v>1221</v>
      </c>
      <c r="H1180" s="3" t="s">
        <v>2137</v>
      </c>
      <c r="I1180" s="3"/>
      <c r="J1180" s="3" t="s">
        <v>1990</v>
      </c>
      <c r="K1180" s="3" t="s">
        <v>2040</v>
      </c>
      <c r="L1180" s="3"/>
      <c r="M1180" s="3" t="s">
        <v>2041</v>
      </c>
      <c r="N1180" s="3" t="s">
        <v>2225</v>
      </c>
    </row>
    <row r="1181" spans="1:14" x14ac:dyDescent="0.45">
      <c r="A1181" s="3" t="s">
        <v>2264</v>
      </c>
      <c r="B1181" s="3" t="s">
        <v>2268</v>
      </c>
      <c r="C1181" s="3" t="s">
        <v>858</v>
      </c>
      <c r="D1181" s="3" t="s">
        <v>1251</v>
      </c>
      <c r="E1181" s="3" t="s">
        <v>1252</v>
      </c>
      <c r="F1181" s="79">
        <v>1300</v>
      </c>
      <c r="G1181" s="3" t="s">
        <v>1221</v>
      </c>
      <c r="H1181" s="3" t="s">
        <v>2137</v>
      </c>
      <c r="I1181" s="3"/>
      <c r="J1181" s="3" t="s">
        <v>1990</v>
      </c>
      <c r="K1181" s="3" t="s">
        <v>2032</v>
      </c>
      <c r="L1181" s="3"/>
      <c r="M1181" s="3" t="s">
        <v>2033</v>
      </c>
      <c r="N1181" s="3" t="s">
        <v>2227</v>
      </c>
    </row>
    <row r="1182" spans="1:14" x14ac:dyDescent="0.45">
      <c r="A1182" s="3" t="s">
        <v>2264</v>
      </c>
      <c r="B1182" s="3" t="s">
        <v>2269</v>
      </c>
      <c r="C1182" s="3" t="s">
        <v>860</v>
      </c>
      <c r="D1182" s="3" t="s">
        <v>1251</v>
      </c>
      <c r="E1182" s="3" t="s">
        <v>1252</v>
      </c>
      <c r="F1182" s="79">
        <v>1325</v>
      </c>
      <c r="G1182" s="3" t="s">
        <v>1221</v>
      </c>
      <c r="H1182" s="3" t="s">
        <v>2137</v>
      </c>
      <c r="I1182" s="3"/>
      <c r="J1182" s="3" t="s">
        <v>1990</v>
      </c>
      <c r="K1182" s="3" t="s">
        <v>2037</v>
      </c>
      <c r="L1182" s="3"/>
      <c r="M1182" s="3" t="s">
        <v>2038</v>
      </c>
      <c r="N1182" s="3" t="s">
        <v>2229</v>
      </c>
    </row>
    <row r="1183" spans="1:14" x14ac:dyDescent="0.45">
      <c r="A1183" s="3" t="s">
        <v>2264</v>
      </c>
      <c r="B1183" s="3" t="s">
        <v>2270</v>
      </c>
      <c r="C1183" s="3" t="s">
        <v>862</v>
      </c>
      <c r="D1183" s="3" t="s">
        <v>1251</v>
      </c>
      <c r="E1183" s="3" t="s">
        <v>1252</v>
      </c>
      <c r="F1183" s="79">
        <v>1340</v>
      </c>
      <c r="G1183" s="3" t="s">
        <v>1221</v>
      </c>
      <c r="H1183" s="3" t="s">
        <v>2137</v>
      </c>
      <c r="I1183" s="3"/>
      <c r="J1183" s="3" t="s">
        <v>1990</v>
      </c>
      <c r="K1183" s="3" t="s">
        <v>2040</v>
      </c>
      <c r="L1183" s="3"/>
      <c r="M1183" s="3" t="s">
        <v>2041</v>
      </c>
      <c r="N1183" s="3" t="s">
        <v>2231</v>
      </c>
    </row>
    <row r="1184" spans="1:14" x14ac:dyDescent="0.45">
      <c r="A1184" s="3" t="s">
        <v>2264</v>
      </c>
      <c r="B1184" s="3" t="s">
        <v>2271</v>
      </c>
      <c r="C1184" s="3" t="s">
        <v>864</v>
      </c>
      <c r="D1184" s="3" t="s">
        <v>1251</v>
      </c>
      <c r="E1184" s="3" t="s">
        <v>1252</v>
      </c>
      <c r="F1184" s="79">
        <v>1395</v>
      </c>
      <c r="G1184" s="3" t="s">
        <v>1221</v>
      </c>
      <c r="H1184" s="3" t="s">
        <v>2137</v>
      </c>
      <c r="I1184" s="3"/>
      <c r="J1184" s="3" t="s">
        <v>1990</v>
      </c>
      <c r="K1184" s="3" t="s">
        <v>2043</v>
      </c>
      <c r="L1184" s="3"/>
      <c r="M1184" s="3" t="s">
        <v>2044</v>
      </c>
      <c r="N1184" s="3" t="s">
        <v>2233</v>
      </c>
    </row>
    <row r="1185" spans="1:14" x14ac:dyDescent="0.45">
      <c r="A1185" s="3" t="s">
        <v>2264</v>
      </c>
      <c r="B1185" s="3" t="s">
        <v>2272</v>
      </c>
      <c r="C1185" s="3" t="s">
        <v>892</v>
      </c>
      <c r="D1185" s="3" t="s">
        <v>2047</v>
      </c>
      <c r="E1185" s="3" t="s">
        <v>1252</v>
      </c>
      <c r="F1185" s="79">
        <v>370</v>
      </c>
      <c r="G1185" s="3" t="s">
        <v>1221</v>
      </c>
      <c r="H1185" s="3" t="s">
        <v>2137</v>
      </c>
      <c r="I1185" s="3"/>
      <c r="J1185" s="3" t="s">
        <v>1990</v>
      </c>
      <c r="K1185" s="3" t="s">
        <v>2043</v>
      </c>
      <c r="L1185" s="3"/>
      <c r="M1185" s="3" t="s">
        <v>2044</v>
      </c>
      <c r="N1185" s="3" t="s">
        <v>2235</v>
      </c>
    </row>
    <row r="1186" spans="1:14" x14ac:dyDescent="0.45">
      <c r="A1186" s="3" t="s">
        <v>2264</v>
      </c>
      <c r="B1186" s="3" t="s">
        <v>2273</v>
      </c>
      <c r="C1186" s="3" t="s">
        <v>894</v>
      </c>
      <c r="D1186" s="3" t="s">
        <v>1255</v>
      </c>
      <c r="E1186" s="3" t="s">
        <v>1332</v>
      </c>
      <c r="F1186" s="79">
        <v>385</v>
      </c>
      <c r="G1186" s="3" t="s">
        <v>1221</v>
      </c>
      <c r="H1186" s="3" t="s">
        <v>2137</v>
      </c>
      <c r="I1186" s="3"/>
      <c r="J1186" s="3" t="s">
        <v>1990</v>
      </c>
      <c r="K1186" s="3" t="s">
        <v>2084</v>
      </c>
      <c r="L1186" s="3"/>
      <c r="M1186" s="3" t="s">
        <v>2085</v>
      </c>
      <c r="N1186" s="3" t="s">
        <v>2237</v>
      </c>
    </row>
    <row r="1187" spans="1:14" x14ac:dyDescent="0.45">
      <c r="A1187" s="3" t="s">
        <v>2264</v>
      </c>
      <c r="B1187" s="3" t="s">
        <v>2274</v>
      </c>
      <c r="C1187" s="3" t="s">
        <v>896</v>
      </c>
      <c r="D1187" s="3" t="s">
        <v>1338</v>
      </c>
      <c r="E1187" s="3" t="s">
        <v>1339</v>
      </c>
      <c r="F1187" s="79">
        <v>435</v>
      </c>
      <c r="G1187" s="3" t="s">
        <v>1221</v>
      </c>
      <c r="H1187" s="3" t="s">
        <v>2137</v>
      </c>
      <c r="I1187" s="3"/>
      <c r="J1187" s="3" t="s">
        <v>1990</v>
      </c>
      <c r="K1187" s="3" t="s">
        <v>2051</v>
      </c>
      <c r="L1187" s="3"/>
      <c r="M1187" s="3" t="s">
        <v>2052</v>
      </c>
      <c r="N1187" s="3" t="s">
        <v>2239</v>
      </c>
    </row>
    <row r="1188" spans="1:14" x14ac:dyDescent="0.45">
      <c r="A1188" s="3" t="s">
        <v>2264</v>
      </c>
      <c r="B1188" s="3" t="s">
        <v>2275</v>
      </c>
      <c r="C1188" s="3" t="s">
        <v>898</v>
      </c>
      <c r="D1188" s="3" t="s">
        <v>1345</v>
      </c>
      <c r="E1188" s="3" t="s">
        <v>1346</v>
      </c>
      <c r="F1188" s="79">
        <v>465</v>
      </c>
      <c r="G1188" s="3" t="s">
        <v>1221</v>
      </c>
      <c r="H1188" s="3" t="s">
        <v>2137</v>
      </c>
      <c r="I1188" s="3"/>
      <c r="J1188" s="3" t="s">
        <v>1990</v>
      </c>
      <c r="K1188" s="3" t="s">
        <v>2054</v>
      </c>
      <c r="L1188" s="3"/>
      <c r="M1188" s="3" t="s">
        <v>2055</v>
      </c>
      <c r="N1188" s="3" t="s">
        <v>2241</v>
      </c>
    </row>
    <row r="1189" spans="1:14" x14ac:dyDescent="0.45">
      <c r="A1189" s="3" t="s">
        <v>2264</v>
      </c>
      <c r="B1189" s="3" t="s">
        <v>2276</v>
      </c>
      <c r="C1189" s="3" t="s">
        <v>866</v>
      </c>
      <c r="D1189" s="3" t="s">
        <v>1255</v>
      </c>
      <c r="E1189" s="3" t="s">
        <v>1256</v>
      </c>
      <c r="F1189" s="79">
        <v>1745</v>
      </c>
      <c r="G1189" s="3" t="s">
        <v>1221</v>
      </c>
      <c r="H1189" s="3" t="s">
        <v>2137</v>
      </c>
      <c r="I1189" s="3"/>
      <c r="J1189" s="3" t="s">
        <v>1990</v>
      </c>
      <c r="K1189" s="3" t="s">
        <v>2084</v>
      </c>
      <c r="L1189" s="3"/>
      <c r="M1189" s="3" t="s">
        <v>2085</v>
      </c>
      <c r="N1189" s="3" t="s">
        <v>2243</v>
      </c>
    </row>
    <row r="1190" spans="1:14" x14ac:dyDescent="0.45">
      <c r="A1190" s="3" t="s">
        <v>2264</v>
      </c>
      <c r="B1190" s="3" t="s">
        <v>2277</v>
      </c>
      <c r="C1190" s="3" t="s">
        <v>868</v>
      </c>
      <c r="D1190" s="3" t="s">
        <v>1255</v>
      </c>
      <c r="E1190" s="3" t="s">
        <v>1256</v>
      </c>
      <c r="F1190" s="79">
        <v>1775</v>
      </c>
      <c r="G1190" s="3" t="s">
        <v>1221</v>
      </c>
      <c r="H1190" s="3" t="s">
        <v>2137</v>
      </c>
      <c r="I1190" s="3"/>
      <c r="J1190" s="3" t="s">
        <v>1990</v>
      </c>
      <c r="K1190" s="3" t="s">
        <v>2051</v>
      </c>
      <c r="L1190" s="3"/>
      <c r="M1190" s="3" t="s">
        <v>2052</v>
      </c>
      <c r="N1190" s="3" t="s">
        <v>2245</v>
      </c>
    </row>
    <row r="1191" spans="1:14" x14ac:dyDescent="0.45">
      <c r="A1191" s="3" t="s">
        <v>2264</v>
      </c>
      <c r="B1191" s="3" t="s">
        <v>2278</v>
      </c>
      <c r="C1191" s="3" t="s">
        <v>870</v>
      </c>
      <c r="D1191" s="3" t="s">
        <v>1255</v>
      </c>
      <c r="E1191" s="3" t="s">
        <v>1256</v>
      </c>
      <c r="F1191" s="79">
        <v>1815</v>
      </c>
      <c r="G1191" s="3" t="s">
        <v>1221</v>
      </c>
      <c r="H1191" s="3" t="s">
        <v>2137</v>
      </c>
      <c r="I1191" s="3"/>
      <c r="J1191" s="3" t="s">
        <v>1990</v>
      </c>
      <c r="K1191" s="3" t="s">
        <v>2054</v>
      </c>
      <c r="L1191" s="3"/>
      <c r="M1191" s="3" t="s">
        <v>2055</v>
      </c>
      <c r="N1191" s="3" t="s">
        <v>2247</v>
      </c>
    </row>
    <row r="1192" spans="1:14" x14ac:dyDescent="0.45">
      <c r="A1192" s="3" t="s">
        <v>2264</v>
      </c>
      <c r="B1192" s="3" t="s">
        <v>2279</v>
      </c>
      <c r="C1192" s="3" t="s">
        <v>872</v>
      </c>
      <c r="D1192" s="3" t="s">
        <v>1255</v>
      </c>
      <c r="E1192" s="3" t="s">
        <v>1256</v>
      </c>
      <c r="F1192" s="79">
        <v>1865</v>
      </c>
      <c r="G1192" s="3" t="s">
        <v>1221</v>
      </c>
      <c r="H1192" s="3" t="s">
        <v>2137</v>
      </c>
      <c r="I1192" s="3"/>
      <c r="J1192" s="3" t="s">
        <v>1990</v>
      </c>
      <c r="K1192" s="3" t="s">
        <v>2057</v>
      </c>
      <c r="L1192" s="3"/>
      <c r="M1192" s="3" t="s">
        <v>2058</v>
      </c>
      <c r="N1192" s="3" t="s">
        <v>2249</v>
      </c>
    </row>
    <row r="1193" spans="1:14" x14ac:dyDescent="0.45">
      <c r="A1193" s="3" t="s">
        <v>2264</v>
      </c>
      <c r="B1193" s="3" t="s">
        <v>2280</v>
      </c>
      <c r="C1193" s="3" t="s">
        <v>900</v>
      </c>
      <c r="D1193" s="3" t="s">
        <v>2061</v>
      </c>
      <c r="E1193" s="3" t="s">
        <v>1256</v>
      </c>
      <c r="F1193" s="79">
        <v>480</v>
      </c>
      <c r="G1193" s="3" t="s">
        <v>1221</v>
      </c>
      <c r="H1193" s="3" t="s">
        <v>2137</v>
      </c>
      <c r="I1193" s="3"/>
      <c r="J1193" s="3" t="s">
        <v>1990</v>
      </c>
      <c r="K1193" s="3" t="s">
        <v>2057</v>
      </c>
      <c r="L1193" s="3"/>
      <c r="M1193" s="3" t="s">
        <v>2058</v>
      </c>
      <c r="N1193" s="3" t="s">
        <v>2251</v>
      </c>
    </row>
    <row r="1194" spans="1:14" x14ac:dyDescent="0.45">
      <c r="A1194" s="3" t="s">
        <v>2264</v>
      </c>
      <c r="B1194" s="3" t="s">
        <v>2281</v>
      </c>
      <c r="C1194" s="3" t="s">
        <v>902</v>
      </c>
      <c r="D1194" s="3" t="s">
        <v>1351</v>
      </c>
      <c r="E1194" s="3" t="s">
        <v>1352</v>
      </c>
      <c r="F1194" s="79">
        <v>505</v>
      </c>
      <c r="G1194" s="3" t="s">
        <v>1221</v>
      </c>
      <c r="H1194" s="3" t="s">
        <v>2137</v>
      </c>
      <c r="I1194" s="3"/>
      <c r="J1194" s="3" t="s">
        <v>1990</v>
      </c>
      <c r="K1194" s="3" t="s">
        <v>2048</v>
      </c>
      <c r="L1194" s="3"/>
      <c r="M1194" s="3" t="s">
        <v>2049</v>
      </c>
      <c r="N1194" s="3" t="s">
        <v>2253</v>
      </c>
    </row>
    <row r="1195" spans="1:14" x14ac:dyDescent="0.45">
      <c r="A1195" s="3" t="s">
        <v>2264</v>
      </c>
      <c r="B1195" s="3" t="s">
        <v>2282</v>
      </c>
      <c r="C1195" s="3" t="s">
        <v>904</v>
      </c>
      <c r="D1195" s="3" t="s">
        <v>1355</v>
      </c>
      <c r="E1195" s="3" t="s">
        <v>1356</v>
      </c>
      <c r="F1195" s="79">
        <v>565</v>
      </c>
      <c r="G1195" s="3" t="s">
        <v>1221</v>
      </c>
      <c r="H1195" s="3" t="s">
        <v>2137</v>
      </c>
      <c r="I1195" s="3"/>
      <c r="J1195" s="3" t="s">
        <v>1990</v>
      </c>
      <c r="K1195" s="3" t="s">
        <v>2062</v>
      </c>
      <c r="L1195" s="3"/>
      <c r="M1195" s="3" t="s">
        <v>2063</v>
      </c>
      <c r="N1195" s="3" t="s">
        <v>2255</v>
      </c>
    </row>
    <row r="1196" spans="1:14" x14ac:dyDescent="0.45">
      <c r="A1196" s="3" t="s">
        <v>2264</v>
      </c>
      <c r="B1196" s="3" t="s">
        <v>2283</v>
      </c>
      <c r="C1196" s="3" t="s">
        <v>846</v>
      </c>
      <c r="D1196" s="3" t="s">
        <v>2182</v>
      </c>
      <c r="E1196" s="3" t="s">
        <v>2183</v>
      </c>
      <c r="F1196" s="79">
        <v>615</v>
      </c>
      <c r="G1196" s="3" t="s">
        <v>1221</v>
      </c>
      <c r="H1196" s="3" t="s">
        <v>2137</v>
      </c>
      <c r="I1196" s="3"/>
      <c r="J1196" s="3" t="s">
        <v>1990</v>
      </c>
      <c r="K1196" s="3" t="s">
        <v>2065</v>
      </c>
      <c r="L1196" s="3"/>
      <c r="M1196" s="3" t="s">
        <v>2066</v>
      </c>
      <c r="N1196" s="3" t="s">
        <v>2257</v>
      </c>
    </row>
    <row r="1197" spans="1:14" x14ac:dyDescent="0.45">
      <c r="A1197" s="3" t="s">
        <v>2264</v>
      </c>
      <c r="B1197" s="3" t="s">
        <v>2284</v>
      </c>
      <c r="C1197" s="3" t="s">
        <v>874</v>
      </c>
      <c r="D1197" s="3" t="s">
        <v>1351</v>
      </c>
      <c r="E1197" s="3" t="s">
        <v>2186</v>
      </c>
      <c r="F1197" s="79">
        <v>2270</v>
      </c>
      <c r="G1197" s="3" t="s">
        <v>1221</v>
      </c>
      <c r="H1197" s="3" t="s">
        <v>2137</v>
      </c>
      <c r="I1197" s="3"/>
      <c r="J1197" s="3" t="s">
        <v>1990</v>
      </c>
      <c r="K1197" s="3" t="s">
        <v>2048</v>
      </c>
      <c r="L1197" s="3"/>
      <c r="M1197" s="3" t="s">
        <v>2049</v>
      </c>
      <c r="N1197" s="3" t="s">
        <v>2259</v>
      </c>
    </row>
    <row r="1198" spans="1:14" x14ac:dyDescent="0.45">
      <c r="A1198" s="3" t="s">
        <v>2264</v>
      </c>
      <c r="B1198" s="3" t="s">
        <v>2285</v>
      </c>
      <c r="C1198" s="3" t="s">
        <v>876</v>
      </c>
      <c r="D1198" s="3" t="s">
        <v>1351</v>
      </c>
      <c r="E1198" s="3" t="s">
        <v>2186</v>
      </c>
      <c r="F1198" s="79">
        <v>2290</v>
      </c>
      <c r="G1198" s="3" t="s">
        <v>1221</v>
      </c>
      <c r="H1198" s="3" t="s">
        <v>2137</v>
      </c>
      <c r="I1198" s="3"/>
      <c r="J1198" s="3" t="s">
        <v>1990</v>
      </c>
      <c r="K1198" s="3" t="s">
        <v>2062</v>
      </c>
      <c r="L1198" s="3"/>
      <c r="M1198" s="3" t="s">
        <v>2063</v>
      </c>
      <c r="N1198" s="3" t="s">
        <v>2261</v>
      </c>
    </row>
    <row r="1199" spans="1:14" x14ac:dyDescent="0.45">
      <c r="A1199" s="3" t="s">
        <v>2264</v>
      </c>
      <c r="B1199" s="3" t="s">
        <v>2286</v>
      </c>
      <c r="C1199" s="3" t="s">
        <v>842</v>
      </c>
      <c r="D1199" s="3" t="s">
        <v>1351</v>
      </c>
      <c r="E1199" s="3" t="s">
        <v>2186</v>
      </c>
      <c r="F1199" s="79">
        <v>2325</v>
      </c>
      <c r="G1199" s="3" t="s">
        <v>1221</v>
      </c>
      <c r="H1199" s="3" t="s">
        <v>2137</v>
      </c>
      <c r="I1199" s="3"/>
      <c r="J1199" s="3" t="s">
        <v>1990</v>
      </c>
      <c r="K1199" s="3" t="s">
        <v>2065</v>
      </c>
      <c r="L1199" s="3"/>
      <c r="M1199" s="3" t="s">
        <v>2066</v>
      </c>
      <c r="N1199" s="3" t="s">
        <v>2263</v>
      </c>
    </row>
    <row r="1200" spans="1:14" x14ac:dyDescent="0.45">
      <c r="A1200" s="3" t="s">
        <v>337</v>
      </c>
      <c r="B1200" s="3" t="s">
        <v>2287</v>
      </c>
      <c r="C1200" s="3" t="s">
        <v>1757</v>
      </c>
      <c r="D1200" s="3"/>
      <c r="E1200" s="3" t="s">
        <v>1231</v>
      </c>
      <c r="F1200" s="79">
        <v>57000</v>
      </c>
      <c r="G1200" s="3" t="s">
        <v>65</v>
      </c>
      <c r="H1200" s="3" t="s">
        <v>2288</v>
      </c>
      <c r="I1200" s="3"/>
      <c r="J1200" s="3" t="s">
        <v>1224</v>
      </c>
      <c r="K1200" s="3" t="s">
        <v>1817</v>
      </c>
      <c r="L1200" s="3"/>
      <c r="M1200" s="3" t="s">
        <v>1819</v>
      </c>
      <c r="N1200" s="3" t="s">
        <v>2289</v>
      </c>
    </row>
    <row r="1201" spans="1:14" x14ac:dyDescent="0.45">
      <c r="A1201" s="3" t="s">
        <v>337</v>
      </c>
      <c r="B1201" s="3" t="s">
        <v>2287</v>
      </c>
      <c r="C1201" s="3" t="s">
        <v>1759</v>
      </c>
      <c r="D1201" s="3"/>
      <c r="E1201" s="3" t="s">
        <v>1266</v>
      </c>
      <c r="F1201" s="79">
        <v>62000</v>
      </c>
      <c r="G1201" s="3" t="s">
        <v>65</v>
      </c>
      <c r="H1201" s="3" t="s">
        <v>2012</v>
      </c>
      <c r="I1201" s="3"/>
      <c r="J1201" s="3" t="s">
        <v>1990</v>
      </c>
      <c r="K1201" s="3" t="s">
        <v>2001</v>
      </c>
      <c r="L1201" s="3"/>
      <c r="M1201" s="3" t="s">
        <v>2002</v>
      </c>
      <c r="N1201" s="3" t="s">
        <v>2290</v>
      </c>
    </row>
    <row r="1202" spans="1:14" x14ac:dyDescent="0.45">
      <c r="A1202" s="3" t="s">
        <v>337</v>
      </c>
      <c r="B1202" s="3" t="s">
        <v>2287</v>
      </c>
      <c r="C1202" s="3" t="s">
        <v>1761</v>
      </c>
      <c r="D1202" s="3"/>
      <c r="E1202" s="3" t="s">
        <v>1273</v>
      </c>
      <c r="F1202" s="79">
        <v>68000</v>
      </c>
      <c r="G1202" s="3" t="s">
        <v>65</v>
      </c>
      <c r="H1202" s="3" t="s">
        <v>2291</v>
      </c>
      <c r="I1202" s="3"/>
      <c r="J1202" s="3" t="s">
        <v>1260</v>
      </c>
      <c r="K1202" s="3" t="s">
        <v>1825</v>
      </c>
      <c r="L1202" s="3"/>
      <c r="M1202" s="3" t="s">
        <v>1827</v>
      </c>
      <c r="N1202" s="3" t="s">
        <v>2292</v>
      </c>
    </row>
    <row r="1203" spans="1:14" x14ac:dyDescent="0.45">
      <c r="A1203" s="3" t="s">
        <v>337</v>
      </c>
      <c r="B1203" s="3" t="s">
        <v>2287</v>
      </c>
      <c r="C1203" s="3" t="s">
        <v>1763</v>
      </c>
      <c r="D1203" s="3"/>
      <c r="E1203" s="3" t="s">
        <v>1280</v>
      </c>
      <c r="F1203" s="79">
        <v>74000</v>
      </c>
      <c r="G1203" s="3" t="s">
        <v>65</v>
      </c>
      <c r="H1203" s="3" t="s">
        <v>2291</v>
      </c>
      <c r="I1203" s="3"/>
      <c r="J1203" s="3" t="s">
        <v>1260</v>
      </c>
      <c r="K1203" s="3" t="s">
        <v>1261</v>
      </c>
      <c r="L1203" s="3"/>
      <c r="M1203" s="3" t="s">
        <v>1263</v>
      </c>
      <c r="N1203" s="3" t="s">
        <v>2293</v>
      </c>
    </row>
    <row r="1204" spans="1:14" x14ac:dyDescent="0.45">
      <c r="A1204" s="3" t="s">
        <v>337</v>
      </c>
      <c r="B1204" s="3" t="s">
        <v>2287</v>
      </c>
      <c r="C1204" s="3" t="s">
        <v>1765</v>
      </c>
      <c r="D1204" s="3"/>
      <c r="E1204" s="3" t="s">
        <v>1238</v>
      </c>
      <c r="F1204" s="79">
        <v>79000</v>
      </c>
      <c r="G1204" s="3" t="s">
        <v>65</v>
      </c>
      <c r="H1204" s="3" t="s">
        <v>2012</v>
      </c>
      <c r="I1204" s="3"/>
      <c r="J1204" s="3" t="s">
        <v>1990</v>
      </c>
      <c r="K1204" s="3" t="s">
        <v>2018</v>
      </c>
      <c r="L1204" s="3"/>
      <c r="M1204" s="3" t="s">
        <v>2019</v>
      </c>
      <c r="N1204" s="3" t="s">
        <v>2294</v>
      </c>
    </row>
    <row r="1205" spans="1:14" x14ac:dyDescent="0.45">
      <c r="A1205" s="3" t="s">
        <v>337</v>
      </c>
      <c r="B1205" s="3" t="s">
        <v>2287</v>
      </c>
      <c r="C1205" s="3" t="s">
        <v>1767</v>
      </c>
      <c r="D1205" s="3"/>
      <c r="E1205" s="3" t="s">
        <v>1288</v>
      </c>
      <c r="F1205" s="79">
        <v>85000</v>
      </c>
      <c r="G1205" s="3" t="s">
        <v>65</v>
      </c>
      <c r="H1205" s="3" t="s">
        <v>2012</v>
      </c>
      <c r="I1205" s="3"/>
      <c r="J1205" s="3" t="s">
        <v>1990</v>
      </c>
      <c r="K1205" s="3" t="s">
        <v>2023</v>
      </c>
      <c r="L1205" s="3"/>
      <c r="M1205" s="3" t="s">
        <v>2024</v>
      </c>
      <c r="N1205" s="3" t="s">
        <v>2295</v>
      </c>
    </row>
    <row r="1206" spans="1:14" x14ac:dyDescent="0.45">
      <c r="A1206" s="3" t="s">
        <v>337</v>
      </c>
      <c r="B1206" s="3" t="s">
        <v>2287</v>
      </c>
      <c r="C1206" s="3" t="s">
        <v>1769</v>
      </c>
      <c r="D1206" s="3"/>
      <c r="E1206" s="3" t="s">
        <v>1295</v>
      </c>
      <c r="F1206" s="79">
        <v>93000</v>
      </c>
      <c r="G1206" s="3" t="s">
        <v>65</v>
      </c>
      <c r="H1206" s="3" t="s">
        <v>2012</v>
      </c>
      <c r="I1206" s="3"/>
      <c r="J1206" s="3" t="s">
        <v>1990</v>
      </c>
      <c r="K1206" s="3" t="s">
        <v>2026</v>
      </c>
      <c r="L1206" s="3"/>
      <c r="M1206" s="3" t="s">
        <v>2027</v>
      </c>
      <c r="N1206" s="3" t="s">
        <v>2296</v>
      </c>
    </row>
    <row r="1207" spans="1:14" x14ac:dyDescent="0.45">
      <c r="A1207" s="3" t="s">
        <v>337</v>
      </c>
      <c r="B1207" s="3" t="s">
        <v>2287</v>
      </c>
      <c r="C1207" s="3" t="s">
        <v>1771</v>
      </c>
      <c r="D1207" s="3"/>
      <c r="E1207" s="3" t="s">
        <v>1302</v>
      </c>
      <c r="F1207" s="79">
        <v>99000</v>
      </c>
      <c r="G1207" s="3" t="s">
        <v>65</v>
      </c>
      <c r="H1207" s="3" t="s">
        <v>2012</v>
      </c>
      <c r="I1207" s="3"/>
      <c r="J1207" s="3" t="s">
        <v>1990</v>
      </c>
      <c r="K1207" s="3" t="s">
        <v>2029</v>
      </c>
      <c r="L1207" s="3"/>
      <c r="M1207" s="3" t="s">
        <v>2030</v>
      </c>
      <c r="N1207" s="3" t="s">
        <v>2297</v>
      </c>
    </row>
    <row r="1208" spans="1:14" x14ac:dyDescent="0.45">
      <c r="A1208" s="3" t="s">
        <v>337</v>
      </c>
      <c r="B1208" s="3" t="s">
        <v>2287</v>
      </c>
      <c r="C1208" s="3" t="s">
        <v>1773</v>
      </c>
      <c r="D1208" s="3"/>
      <c r="E1208" s="3" t="s">
        <v>1245</v>
      </c>
      <c r="F1208" s="79">
        <v>106000</v>
      </c>
      <c r="G1208" s="3" t="s">
        <v>65</v>
      </c>
      <c r="H1208" s="3" t="s">
        <v>2012</v>
      </c>
      <c r="I1208" s="3"/>
      <c r="J1208" s="3" t="s">
        <v>1990</v>
      </c>
      <c r="K1208" s="3" t="s">
        <v>2032</v>
      </c>
      <c r="L1208" s="3"/>
      <c r="M1208" s="3" t="s">
        <v>2033</v>
      </c>
      <c r="N1208" s="3" t="s">
        <v>2298</v>
      </c>
    </row>
    <row r="1209" spans="1:14" x14ac:dyDescent="0.45">
      <c r="A1209" s="3" t="s">
        <v>337</v>
      </c>
      <c r="B1209" s="3" t="s">
        <v>2287</v>
      </c>
      <c r="C1209" s="3" t="s">
        <v>1775</v>
      </c>
      <c r="D1209" s="3"/>
      <c r="E1209" s="3" t="s">
        <v>1310</v>
      </c>
      <c r="F1209" s="79">
        <v>112000</v>
      </c>
      <c r="G1209" s="3" t="s">
        <v>65</v>
      </c>
      <c r="H1209" s="3" t="s">
        <v>2012</v>
      </c>
      <c r="I1209" s="3"/>
      <c r="J1209" s="3" t="s">
        <v>1990</v>
      </c>
      <c r="K1209" s="3" t="s">
        <v>2037</v>
      </c>
      <c r="L1209" s="3"/>
      <c r="M1209" s="3" t="s">
        <v>2038</v>
      </c>
      <c r="N1209" s="3" t="s">
        <v>2299</v>
      </c>
    </row>
    <row r="1210" spans="1:14" x14ac:dyDescent="0.45">
      <c r="A1210" s="3" t="s">
        <v>337</v>
      </c>
      <c r="B1210" s="3" t="s">
        <v>2287</v>
      </c>
      <c r="C1210" s="3" t="s">
        <v>1777</v>
      </c>
      <c r="D1210" s="3"/>
      <c r="E1210" s="3" t="s">
        <v>1317</v>
      </c>
      <c r="F1210" s="79">
        <v>120000</v>
      </c>
      <c r="G1210" s="3" t="s">
        <v>65</v>
      </c>
      <c r="H1210" s="3" t="s">
        <v>2012</v>
      </c>
      <c r="I1210" s="3"/>
      <c r="J1210" s="3" t="s">
        <v>1990</v>
      </c>
      <c r="K1210" s="3" t="s">
        <v>2040</v>
      </c>
      <c r="L1210" s="3"/>
      <c r="M1210" s="3" t="s">
        <v>2041</v>
      </c>
      <c r="N1210" s="3" t="s">
        <v>2300</v>
      </c>
    </row>
    <row r="1211" spans="1:14" x14ac:dyDescent="0.45">
      <c r="A1211" s="3" t="s">
        <v>337</v>
      </c>
      <c r="B1211" s="3" t="s">
        <v>2287</v>
      </c>
      <c r="C1211" s="3" t="s">
        <v>1779</v>
      </c>
      <c r="D1211" s="3"/>
      <c r="E1211" s="3" t="s">
        <v>1324</v>
      </c>
      <c r="F1211" s="79">
        <v>127000</v>
      </c>
      <c r="G1211" s="3" t="s">
        <v>65</v>
      </c>
      <c r="H1211" s="3" t="s">
        <v>2012</v>
      </c>
      <c r="I1211" s="3"/>
      <c r="J1211" s="3" t="s">
        <v>1990</v>
      </c>
      <c r="K1211" s="3" t="s">
        <v>2043</v>
      </c>
      <c r="L1211" s="3"/>
      <c r="M1211" s="3" t="s">
        <v>2044</v>
      </c>
      <c r="N1211" s="3" t="s">
        <v>2301</v>
      </c>
    </row>
    <row r="1212" spans="1:14" x14ac:dyDescent="0.45">
      <c r="A1212" s="3" t="s">
        <v>337</v>
      </c>
      <c r="B1212" s="3" t="s">
        <v>2287</v>
      </c>
      <c r="C1212" s="3" t="s">
        <v>1781</v>
      </c>
      <c r="D1212" s="3"/>
      <c r="E1212" s="3" t="s">
        <v>1252</v>
      </c>
      <c r="F1212" s="79">
        <v>134000</v>
      </c>
      <c r="G1212" s="3" t="s">
        <v>65</v>
      </c>
      <c r="H1212" s="3" t="s">
        <v>2012</v>
      </c>
      <c r="I1212" s="3"/>
      <c r="J1212" s="3" t="s">
        <v>1990</v>
      </c>
      <c r="K1212" s="3" t="s">
        <v>2084</v>
      </c>
      <c r="L1212" s="3"/>
      <c r="M1212" s="3" t="s">
        <v>2085</v>
      </c>
      <c r="N1212" s="3" t="s">
        <v>2302</v>
      </c>
    </row>
    <row r="1213" spans="1:14" x14ac:dyDescent="0.45">
      <c r="A1213" s="3" t="s">
        <v>337</v>
      </c>
      <c r="B1213" s="3" t="s">
        <v>2287</v>
      </c>
      <c r="C1213" s="3" t="s">
        <v>1783</v>
      </c>
      <c r="D1213" s="3"/>
      <c r="E1213" s="3" t="s">
        <v>1332</v>
      </c>
      <c r="F1213" s="79">
        <v>140000</v>
      </c>
      <c r="G1213" s="3" t="s">
        <v>65</v>
      </c>
      <c r="H1213" s="3" t="s">
        <v>2012</v>
      </c>
      <c r="I1213" s="3"/>
      <c r="J1213" s="3" t="s">
        <v>1990</v>
      </c>
      <c r="K1213" s="3" t="s">
        <v>2051</v>
      </c>
      <c r="L1213" s="3"/>
      <c r="M1213" s="3" t="s">
        <v>2052</v>
      </c>
      <c r="N1213" s="3" t="s">
        <v>2303</v>
      </c>
    </row>
    <row r="1214" spans="1:14" x14ac:dyDescent="0.45">
      <c r="A1214" s="3" t="s">
        <v>337</v>
      </c>
      <c r="B1214" s="3" t="s">
        <v>2287</v>
      </c>
      <c r="C1214" s="3" t="s">
        <v>1785</v>
      </c>
      <c r="D1214" s="3"/>
      <c r="E1214" s="3" t="s">
        <v>1339</v>
      </c>
      <c r="F1214" s="79">
        <v>148000</v>
      </c>
      <c r="G1214" s="3" t="s">
        <v>65</v>
      </c>
      <c r="H1214" s="3" t="s">
        <v>2012</v>
      </c>
      <c r="I1214" s="3"/>
      <c r="J1214" s="3" t="s">
        <v>1990</v>
      </c>
      <c r="K1214" s="3" t="s">
        <v>2054</v>
      </c>
      <c r="L1214" s="3"/>
      <c r="M1214" s="3" t="s">
        <v>2055</v>
      </c>
      <c r="N1214" s="3" t="s">
        <v>2304</v>
      </c>
    </row>
    <row r="1215" spans="1:14" x14ac:dyDescent="0.45">
      <c r="A1215" s="3" t="s">
        <v>337</v>
      </c>
      <c r="B1215" s="3" t="s">
        <v>2287</v>
      </c>
      <c r="C1215" s="3" t="s">
        <v>1787</v>
      </c>
      <c r="D1215" s="3"/>
      <c r="E1215" s="3" t="s">
        <v>1346</v>
      </c>
      <c r="F1215" s="79">
        <v>156000</v>
      </c>
      <c r="G1215" s="3" t="s">
        <v>65</v>
      </c>
      <c r="H1215" s="3" t="s">
        <v>2012</v>
      </c>
      <c r="I1215" s="3"/>
      <c r="J1215" s="3" t="s">
        <v>1990</v>
      </c>
      <c r="K1215" s="3" t="s">
        <v>2057</v>
      </c>
      <c r="L1215" s="3"/>
      <c r="M1215" s="3" t="s">
        <v>2058</v>
      </c>
      <c r="N1215" s="3" t="s">
        <v>2305</v>
      </c>
    </row>
    <row r="1216" spans="1:14" x14ac:dyDescent="0.45">
      <c r="A1216" s="3" t="s">
        <v>337</v>
      </c>
      <c r="B1216" s="3" t="s">
        <v>2287</v>
      </c>
      <c r="C1216" s="3" t="s">
        <v>1789</v>
      </c>
      <c r="D1216" s="3"/>
      <c r="E1216" s="3" t="s">
        <v>1256</v>
      </c>
      <c r="F1216" s="79">
        <v>164000</v>
      </c>
      <c r="G1216" s="3" t="s">
        <v>65</v>
      </c>
      <c r="H1216" s="3" t="s">
        <v>2012</v>
      </c>
      <c r="I1216" s="3"/>
      <c r="J1216" s="3" t="s">
        <v>1990</v>
      </c>
      <c r="K1216" s="3" t="s">
        <v>2048</v>
      </c>
      <c r="L1216" s="3"/>
      <c r="M1216" s="3" t="s">
        <v>2049</v>
      </c>
      <c r="N1216" s="3" t="s">
        <v>2306</v>
      </c>
    </row>
    <row r="1217" spans="1:14" x14ac:dyDescent="0.45">
      <c r="A1217" s="3" t="s">
        <v>337</v>
      </c>
      <c r="B1217" s="3" t="s">
        <v>2287</v>
      </c>
      <c r="C1217" s="3" t="s">
        <v>1791</v>
      </c>
      <c r="D1217" s="3"/>
      <c r="E1217" s="3" t="s">
        <v>1352</v>
      </c>
      <c r="F1217" s="79">
        <v>171000</v>
      </c>
      <c r="G1217" s="3" t="s">
        <v>65</v>
      </c>
      <c r="H1217" s="3" t="s">
        <v>2012</v>
      </c>
      <c r="I1217" s="3"/>
      <c r="J1217" s="3" t="s">
        <v>1990</v>
      </c>
      <c r="K1217" s="3" t="s">
        <v>2062</v>
      </c>
      <c r="L1217" s="3"/>
      <c r="M1217" s="3" t="s">
        <v>2063</v>
      </c>
      <c r="N1217" s="3" t="s">
        <v>2307</v>
      </c>
    </row>
    <row r="1218" spans="1:14" x14ac:dyDescent="0.45">
      <c r="A1218" s="3" t="s">
        <v>337</v>
      </c>
      <c r="B1218" s="3" t="s">
        <v>2287</v>
      </c>
      <c r="C1218" s="3" t="s">
        <v>1793</v>
      </c>
      <c r="D1218" s="3"/>
      <c r="E1218" s="3" t="s">
        <v>1356</v>
      </c>
      <c r="F1218" s="79">
        <v>180000</v>
      </c>
      <c r="G1218" s="3" t="s">
        <v>65</v>
      </c>
      <c r="H1218" s="3" t="s">
        <v>2012</v>
      </c>
      <c r="I1218" s="3"/>
      <c r="J1218" s="3" t="s">
        <v>1990</v>
      </c>
      <c r="K1218" s="3" t="s">
        <v>2065</v>
      </c>
      <c r="L1218" s="3"/>
      <c r="M1218" s="3" t="s">
        <v>2066</v>
      </c>
      <c r="N1218" s="3" t="s">
        <v>2308</v>
      </c>
    </row>
    <row r="1219" spans="1:14" x14ac:dyDescent="0.45">
      <c r="A1219" s="3" t="s">
        <v>487</v>
      </c>
      <c r="B1219" s="3" t="s">
        <v>2309</v>
      </c>
      <c r="C1219" s="3" t="s">
        <v>1986</v>
      </c>
      <c r="D1219" s="3" t="s">
        <v>1987</v>
      </c>
      <c r="E1219" s="3" t="s">
        <v>1988</v>
      </c>
      <c r="F1219" s="79">
        <v>11.397</v>
      </c>
      <c r="G1219" s="3" t="s">
        <v>1221</v>
      </c>
      <c r="H1219" s="3" t="s">
        <v>1989</v>
      </c>
      <c r="I1219" s="3"/>
      <c r="J1219" s="3" t="s">
        <v>1990</v>
      </c>
      <c r="K1219" s="3" t="s">
        <v>1991</v>
      </c>
      <c r="L1219" s="3"/>
      <c r="M1219" s="3" t="s">
        <v>1992</v>
      </c>
      <c r="N1219" s="3" t="s">
        <v>2310</v>
      </c>
    </row>
    <row r="1220" spans="1:14" x14ac:dyDescent="0.45">
      <c r="A1220" s="3" t="s">
        <v>487</v>
      </c>
      <c r="B1220" s="3" t="s">
        <v>2309</v>
      </c>
      <c r="C1220" s="3" t="s">
        <v>1994</v>
      </c>
      <c r="D1220" s="3" t="s">
        <v>1995</v>
      </c>
      <c r="E1220" s="3" t="s">
        <v>1220</v>
      </c>
      <c r="F1220" s="79">
        <v>15</v>
      </c>
      <c r="G1220" s="3" t="s">
        <v>1221</v>
      </c>
      <c r="H1220" s="3" t="s">
        <v>1989</v>
      </c>
      <c r="I1220" s="3"/>
      <c r="J1220" s="3" t="s">
        <v>1990</v>
      </c>
      <c r="K1220" s="3" t="s">
        <v>1996</v>
      </c>
      <c r="L1220" s="3"/>
      <c r="M1220" s="3" t="s">
        <v>1997</v>
      </c>
      <c r="N1220" s="3" t="s">
        <v>2311</v>
      </c>
    </row>
    <row r="1221" spans="1:14" x14ac:dyDescent="0.45">
      <c r="A1221" s="3" t="s">
        <v>487</v>
      </c>
      <c r="B1221" s="3" t="s">
        <v>2309</v>
      </c>
      <c r="C1221" s="3" t="s">
        <v>1999</v>
      </c>
      <c r="D1221" s="3" t="s">
        <v>1230</v>
      </c>
      <c r="E1221" s="3" t="s">
        <v>2000</v>
      </c>
      <c r="F1221" s="79">
        <v>18</v>
      </c>
      <c r="G1221" s="3" t="s">
        <v>1221</v>
      </c>
      <c r="H1221" s="3" t="s">
        <v>1989</v>
      </c>
      <c r="I1221" s="3"/>
      <c r="J1221" s="3" t="s">
        <v>1990</v>
      </c>
      <c r="K1221" s="3" t="s">
        <v>2001</v>
      </c>
      <c r="L1221" s="3"/>
      <c r="M1221" s="3" t="s">
        <v>2002</v>
      </c>
      <c r="N1221" s="3" t="s">
        <v>2312</v>
      </c>
    </row>
    <row r="1222" spans="1:14" x14ac:dyDescent="0.45">
      <c r="A1222" s="3" t="s">
        <v>487</v>
      </c>
      <c r="B1222" s="3" t="s">
        <v>2309</v>
      </c>
      <c r="C1222" s="3" t="s">
        <v>2004</v>
      </c>
      <c r="D1222" s="3" t="s">
        <v>2005</v>
      </c>
      <c r="E1222" s="3" t="s">
        <v>2006</v>
      </c>
      <c r="F1222" s="79">
        <v>18</v>
      </c>
      <c r="G1222" s="3" t="s">
        <v>1221</v>
      </c>
      <c r="H1222" s="3" t="s">
        <v>1989</v>
      </c>
      <c r="I1222" s="3"/>
      <c r="J1222" s="3" t="s">
        <v>1990</v>
      </c>
      <c r="K1222" s="3" t="s">
        <v>2007</v>
      </c>
      <c r="L1222" s="3"/>
      <c r="M1222" s="3" t="s">
        <v>2008</v>
      </c>
      <c r="N1222" s="3" t="s">
        <v>2313</v>
      </c>
    </row>
    <row r="1223" spans="1:14" x14ac:dyDescent="0.45">
      <c r="A1223" s="3" t="s">
        <v>487</v>
      </c>
      <c r="B1223" s="3" t="s">
        <v>2309</v>
      </c>
      <c r="C1223" s="3" t="s">
        <v>2010</v>
      </c>
      <c r="D1223" s="3" t="s">
        <v>2011</v>
      </c>
      <c r="E1223" s="3" t="s">
        <v>1259</v>
      </c>
      <c r="F1223" s="79">
        <v>28.515000000000001</v>
      </c>
      <c r="G1223" s="3" t="s">
        <v>1221</v>
      </c>
      <c r="H1223" s="3" t="s">
        <v>2012</v>
      </c>
      <c r="I1223" s="3"/>
      <c r="J1223" s="3" t="s">
        <v>1990</v>
      </c>
      <c r="K1223" s="3" t="s">
        <v>1991</v>
      </c>
      <c r="L1223" s="3"/>
      <c r="M1223" s="3" t="s">
        <v>1992</v>
      </c>
      <c r="N1223" s="3" t="s">
        <v>2310</v>
      </c>
    </row>
    <row r="1224" spans="1:14" x14ac:dyDescent="0.45">
      <c r="A1224" s="3" t="s">
        <v>487</v>
      </c>
      <c r="B1224" s="3" t="s">
        <v>2309</v>
      </c>
      <c r="C1224" s="3" t="s">
        <v>1229</v>
      </c>
      <c r="D1224" s="3" t="s">
        <v>1230</v>
      </c>
      <c r="E1224" s="3" t="s">
        <v>1231</v>
      </c>
      <c r="F1224" s="79">
        <v>107</v>
      </c>
      <c r="G1224" s="3" t="s">
        <v>1221</v>
      </c>
      <c r="H1224" s="3" t="s">
        <v>2012</v>
      </c>
      <c r="I1224" s="3"/>
      <c r="J1224" s="3" t="s">
        <v>1990</v>
      </c>
      <c r="K1224" s="3" t="s">
        <v>1996</v>
      </c>
      <c r="L1224" s="3"/>
      <c r="M1224" s="3" t="s">
        <v>1997</v>
      </c>
      <c r="N1224" s="3" t="s">
        <v>2311</v>
      </c>
    </row>
    <row r="1225" spans="1:14" x14ac:dyDescent="0.45">
      <c r="A1225" s="3" t="s">
        <v>487</v>
      </c>
      <c r="B1225" s="3" t="s">
        <v>2309</v>
      </c>
      <c r="C1225" s="3" t="s">
        <v>2013</v>
      </c>
      <c r="D1225" s="3" t="s">
        <v>2014</v>
      </c>
      <c r="E1225" s="3" t="s">
        <v>1231</v>
      </c>
      <c r="F1225" s="79">
        <v>44</v>
      </c>
      <c r="G1225" s="3" t="s">
        <v>1221</v>
      </c>
      <c r="H1225" s="3" t="s">
        <v>2012</v>
      </c>
      <c r="I1225" s="3"/>
      <c r="J1225" s="3" t="s">
        <v>1990</v>
      </c>
      <c r="K1225" s="3" t="s">
        <v>1996</v>
      </c>
      <c r="L1225" s="3"/>
      <c r="M1225" s="3" t="s">
        <v>1997</v>
      </c>
      <c r="N1225" s="3" t="s">
        <v>2311</v>
      </c>
    </row>
    <row r="1226" spans="1:14" x14ac:dyDescent="0.45">
      <c r="A1226" s="3" t="s">
        <v>487</v>
      </c>
      <c r="B1226" s="3" t="s">
        <v>2309</v>
      </c>
      <c r="C1226" s="3" t="s">
        <v>1265</v>
      </c>
      <c r="D1226" s="3" t="s">
        <v>1237</v>
      </c>
      <c r="E1226" s="3" t="s">
        <v>1266</v>
      </c>
      <c r="F1226" s="79">
        <v>42</v>
      </c>
      <c r="G1226" s="3" t="s">
        <v>1221</v>
      </c>
      <c r="H1226" s="3" t="s">
        <v>2012</v>
      </c>
      <c r="I1226" s="3"/>
      <c r="J1226" s="3" t="s">
        <v>1990</v>
      </c>
      <c r="K1226" s="3" t="s">
        <v>2001</v>
      </c>
      <c r="L1226" s="3"/>
      <c r="M1226" s="3" t="s">
        <v>2002</v>
      </c>
      <c r="N1226" s="3" t="s">
        <v>2312</v>
      </c>
    </row>
    <row r="1227" spans="1:14" x14ac:dyDescent="0.45">
      <c r="A1227" s="3" t="s">
        <v>487</v>
      </c>
      <c r="B1227" s="3" t="s">
        <v>2309</v>
      </c>
      <c r="C1227" s="3" t="s">
        <v>1271</v>
      </c>
      <c r="D1227" s="3" t="s">
        <v>1272</v>
      </c>
      <c r="E1227" s="3" t="s">
        <v>1273</v>
      </c>
      <c r="F1227" s="79">
        <v>46</v>
      </c>
      <c r="G1227" s="3" t="s">
        <v>1221</v>
      </c>
      <c r="H1227" s="3" t="s">
        <v>2012</v>
      </c>
      <c r="I1227" s="3"/>
      <c r="J1227" s="3" t="s">
        <v>1990</v>
      </c>
      <c r="K1227" s="3" t="s">
        <v>2007</v>
      </c>
      <c r="L1227" s="3"/>
      <c r="M1227" s="3" t="s">
        <v>2008</v>
      </c>
      <c r="N1227" s="3" t="s">
        <v>2313</v>
      </c>
    </row>
    <row r="1228" spans="1:14" x14ac:dyDescent="0.45">
      <c r="A1228" s="3" t="s">
        <v>487</v>
      </c>
      <c r="B1228" s="3" t="s">
        <v>2309</v>
      </c>
      <c r="C1228" s="3" t="s">
        <v>1278</v>
      </c>
      <c r="D1228" s="3" t="s">
        <v>1279</v>
      </c>
      <c r="E1228" s="3" t="s">
        <v>1280</v>
      </c>
      <c r="F1228" s="79">
        <v>57</v>
      </c>
      <c r="G1228" s="3" t="s">
        <v>1221</v>
      </c>
      <c r="H1228" s="3" t="s">
        <v>2012</v>
      </c>
      <c r="I1228" s="3"/>
      <c r="J1228" s="3" t="s">
        <v>1990</v>
      </c>
      <c r="K1228" s="3" t="s">
        <v>2015</v>
      </c>
      <c r="L1228" s="3"/>
      <c r="M1228" s="3" t="s">
        <v>2016</v>
      </c>
      <c r="N1228" s="3" t="s">
        <v>2314</v>
      </c>
    </row>
    <row r="1229" spans="1:14" x14ac:dyDescent="0.45">
      <c r="A1229" s="3" t="s">
        <v>487</v>
      </c>
      <c r="B1229" s="3" t="s">
        <v>2309</v>
      </c>
      <c r="C1229" s="3" t="s">
        <v>1236</v>
      </c>
      <c r="D1229" s="3" t="s">
        <v>1237</v>
      </c>
      <c r="E1229" s="3" t="s">
        <v>1238</v>
      </c>
      <c r="F1229" s="79">
        <v>208</v>
      </c>
      <c r="G1229" s="3" t="s">
        <v>1221</v>
      </c>
      <c r="H1229" s="3" t="s">
        <v>2012</v>
      </c>
      <c r="I1229" s="3"/>
      <c r="J1229" s="3" t="s">
        <v>1990</v>
      </c>
      <c r="K1229" s="3" t="s">
        <v>2018</v>
      </c>
      <c r="L1229" s="3"/>
      <c r="M1229" s="3" t="s">
        <v>2019</v>
      </c>
      <c r="N1229" s="3" t="s">
        <v>2315</v>
      </c>
    </row>
    <row r="1230" spans="1:14" x14ac:dyDescent="0.45">
      <c r="A1230" s="3" t="s">
        <v>487</v>
      </c>
      <c r="B1230" s="3" t="s">
        <v>2309</v>
      </c>
      <c r="C1230" s="3" t="s">
        <v>2021</v>
      </c>
      <c r="D1230" s="3" t="s">
        <v>2022</v>
      </c>
      <c r="E1230" s="3" t="s">
        <v>1238</v>
      </c>
      <c r="F1230" s="79">
        <v>61</v>
      </c>
      <c r="G1230" s="3" t="s">
        <v>1221</v>
      </c>
      <c r="H1230" s="3" t="s">
        <v>2012</v>
      </c>
      <c r="I1230" s="3"/>
      <c r="J1230" s="3" t="s">
        <v>1990</v>
      </c>
      <c r="K1230" s="3" t="s">
        <v>2018</v>
      </c>
      <c r="L1230" s="3"/>
      <c r="M1230" s="3" t="s">
        <v>2019</v>
      </c>
      <c r="N1230" s="3" t="s">
        <v>2315</v>
      </c>
    </row>
    <row r="1231" spans="1:14" x14ac:dyDescent="0.45">
      <c r="A1231" s="3" t="s">
        <v>487</v>
      </c>
      <c r="B1231" s="3" t="s">
        <v>2309</v>
      </c>
      <c r="C1231" s="3" t="s">
        <v>1287</v>
      </c>
      <c r="D1231" s="3" t="s">
        <v>1244</v>
      </c>
      <c r="E1231" s="3" t="s">
        <v>1288</v>
      </c>
      <c r="F1231" s="79">
        <v>61</v>
      </c>
      <c r="G1231" s="3" t="s">
        <v>1221</v>
      </c>
      <c r="H1231" s="3" t="s">
        <v>2012</v>
      </c>
      <c r="I1231" s="3"/>
      <c r="J1231" s="3" t="s">
        <v>1990</v>
      </c>
      <c r="K1231" s="3" t="s">
        <v>2023</v>
      </c>
      <c r="L1231" s="3"/>
      <c r="M1231" s="3" t="s">
        <v>2024</v>
      </c>
      <c r="N1231" s="3" t="s">
        <v>2316</v>
      </c>
    </row>
    <row r="1232" spans="1:14" x14ac:dyDescent="0.45">
      <c r="A1232" s="3" t="s">
        <v>487</v>
      </c>
      <c r="B1232" s="3" t="s">
        <v>2309</v>
      </c>
      <c r="C1232" s="3" t="s">
        <v>1293</v>
      </c>
      <c r="D1232" s="3" t="s">
        <v>1294</v>
      </c>
      <c r="E1232" s="3" t="s">
        <v>1295</v>
      </c>
      <c r="F1232" s="79">
        <v>61</v>
      </c>
      <c r="G1232" s="3" t="s">
        <v>1221</v>
      </c>
      <c r="H1232" s="3" t="s">
        <v>2012</v>
      </c>
      <c r="I1232" s="3"/>
      <c r="J1232" s="3" t="s">
        <v>1990</v>
      </c>
      <c r="K1232" s="3" t="s">
        <v>2026</v>
      </c>
      <c r="L1232" s="3"/>
      <c r="M1232" s="3" t="s">
        <v>2027</v>
      </c>
      <c r="N1232" s="3" t="s">
        <v>2317</v>
      </c>
    </row>
    <row r="1233" spans="1:14" x14ac:dyDescent="0.45">
      <c r="A1233" s="3" t="s">
        <v>487</v>
      </c>
      <c r="B1233" s="3" t="s">
        <v>2309</v>
      </c>
      <c r="C1233" s="3" t="s">
        <v>1300</v>
      </c>
      <c r="D1233" s="3" t="s">
        <v>1301</v>
      </c>
      <c r="E1233" s="3" t="s">
        <v>1302</v>
      </c>
      <c r="F1233" s="79">
        <v>64</v>
      </c>
      <c r="G1233" s="3" t="s">
        <v>1221</v>
      </c>
      <c r="H1233" s="3" t="s">
        <v>2012</v>
      </c>
      <c r="I1233" s="3"/>
      <c r="J1233" s="3" t="s">
        <v>1990</v>
      </c>
      <c r="K1233" s="3" t="s">
        <v>2029</v>
      </c>
      <c r="L1233" s="3"/>
      <c r="M1233" s="3" t="s">
        <v>2030</v>
      </c>
      <c r="N1233" s="3" t="s">
        <v>2318</v>
      </c>
    </row>
    <row r="1234" spans="1:14" x14ac:dyDescent="0.45">
      <c r="A1234" s="3" t="s">
        <v>487</v>
      </c>
      <c r="B1234" s="3" t="s">
        <v>2309</v>
      </c>
      <c r="C1234" s="3" t="s">
        <v>1243</v>
      </c>
      <c r="D1234" s="3" t="s">
        <v>1244</v>
      </c>
      <c r="E1234" s="3" t="s">
        <v>1245</v>
      </c>
      <c r="F1234" s="79">
        <v>251</v>
      </c>
      <c r="G1234" s="3" t="s">
        <v>1221</v>
      </c>
      <c r="H1234" s="3" t="s">
        <v>2012</v>
      </c>
      <c r="I1234" s="3"/>
      <c r="J1234" s="3" t="s">
        <v>1990</v>
      </c>
      <c r="K1234" s="3" t="s">
        <v>2032</v>
      </c>
      <c r="L1234" s="3"/>
      <c r="M1234" s="3" t="s">
        <v>2033</v>
      </c>
      <c r="N1234" s="3" t="s">
        <v>2319</v>
      </c>
    </row>
    <row r="1235" spans="1:14" x14ac:dyDescent="0.45">
      <c r="A1235" s="3" t="s">
        <v>487</v>
      </c>
      <c r="B1235" s="3" t="s">
        <v>2309</v>
      </c>
      <c r="C1235" s="3" t="s">
        <v>2035</v>
      </c>
      <c r="D1235" s="3" t="s">
        <v>2036</v>
      </c>
      <c r="E1235" s="3" t="s">
        <v>1245</v>
      </c>
      <c r="F1235" s="79">
        <v>65</v>
      </c>
      <c r="G1235" s="3" t="s">
        <v>1221</v>
      </c>
      <c r="H1235" s="3" t="s">
        <v>2012</v>
      </c>
      <c r="I1235" s="3"/>
      <c r="J1235" s="3" t="s">
        <v>1990</v>
      </c>
      <c r="K1235" s="3" t="s">
        <v>2032</v>
      </c>
      <c r="L1235" s="3"/>
      <c r="M1235" s="3" t="s">
        <v>2033</v>
      </c>
      <c r="N1235" s="3" t="s">
        <v>2319</v>
      </c>
    </row>
    <row r="1236" spans="1:14" x14ac:dyDescent="0.45">
      <c r="A1236" s="3" t="s">
        <v>487</v>
      </c>
      <c r="B1236" s="3" t="s">
        <v>2309</v>
      </c>
      <c r="C1236" s="3" t="s">
        <v>1309</v>
      </c>
      <c r="D1236" s="3" t="s">
        <v>1251</v>
      </c>
      <c r="E1236" s="3" t="s">
        <v>1310</v>
      </c>
      <c r="F1236" s="79">
        <v>56</v>
      </c>
      <c r="G1236" s="3" t="s">
        <v>1221</v>
      </c>
      <c r="H1236" s="3" t="s">
        <v>2012</v>
      </c>
      <c r="I1236" s="3"/>
      <c r="J1236" s="3" t="s">
        <v>1990</v>
      </c>
      <c r="K1236" s="3" t="s">
        <v>2037</v>
      </c>
      <c r="L1236" s="3"/>
      <c r="M1236" s="3" t="s">
        <v>2038</v>
      </c>
      <c r="N1236" s="3" t="s">
        <v>2320</v>
      </c>
    </row>
    <row r="1237" spans="1:14" x14ac:dyDescent="0.45">
      <c r="A1237" s="3" t="s">
        <v>487</v>
      </c>
      <c r="B1237" s="3" t="s">
        <v>2309</v>
      </c>
      <c r="C1237" s="3" t="s">
        <v>1315</v>
      </c>
      <c r="D1237" s="3" t="s">
        <v>1316</v>
      </c>
      <c r="E1237" s="3" t="s">
        <v>1317</v>
      </c>
      <c r="F1237" s="79">
        <v>55</v>
      </c>
      <c r="G1237" s="3" t="s">
        <v>1221</v>
      </c>
      <c r="H1237" s="3" t="s">
        <v>2012</v>
      </c>
      <c r="I1237" s="3"/>
      <c r="J1237" s="3" t="s">
        <v>1990</v>
      </c>
      <c r="K1237" s="3" t="s">
        <v>2040</v>
      </c>
      <c r="L1237" s="3"/>
      <c r="M1237" s="3" t="s">
        <v>2041</v>
      </c>
      <c r="N1237" s="3" t="s">
        <v>2321</v>
      </c>
    </row>
    <row r="1238" spans="1:14" x14ac:dyDescent="0.45">
      <c r="A1238" s="3" t="s">
        <v>487</v>
      </c>
      <c r="B1238" s="3" t="s">
        <v>2309</v>
      </c>
      <c r="C1238" s="3" t="s">
        <v>1322</v>
      </c>
      <c r="D1238" s="3" t="s">
        <v>1323</v>
      </c>
      <c r="E1238" s="3" t="s">
        <v>1324</v>
      </c>
      <c r="F1238" s="79">
        <v>59</v>
      </c>
      <c r="G1238" s="3" t="s">
        <v>1221</v>
      </c>
      <c r="H1238" s="3" t="s">
        <v>2012</v>
      </c>
      <c r="I1238" s="3"/>
      <c r="J1238" s="3" t="s">
        <v>1990</v>
      </c>
      <c r="K1238" s="3" t="s">
        <v>2043</v>
      </c>
      <c r="L1238" s="3"/>
      <c r="M1238" s="3" t="s">
        <v>2044</v>
      </c>
      <c r="N1238" s="3" t="s">
        <v>2322</v>
      </c>
    </row>
    <row r="1239" spans="1:14" x14ac:dyDescent="0.45">
      <c r="A1239" s="3" t="s">
        <v>487</v>
      </c>
      <c r="B1239" s="3" t="s">
        <v>2309</v>
      </c>
      <c r="C1239" s="3" t="s">
        <v>1250</v>
      </c>
      <c r="D1239" s="3" t="s">
        <v>1251</v>
      </c>
      <c r="E1239" s="3" t="s">
        <v>1252</v>
      </c>
      <c r="F1239" s="79">
        <v>229</v>
      </c>
      <c r="G1239" s="3" t="s">
        <v>1221</v>
      </c>
      <c r="H1239" s="3" t="s">
        <v>2012</v>
      </c>
      <c r="I1239" s="3"/>
      <c r="J1239" s="3" t="s">
        <v>1990</v>
      </c>
      <c r="K1239" s="3" t="s">
        <v>2084</v>
      </c>
      <c r="L1239" s="3"/>
      <c r="M1239" s="3" t="s">
        <v>2085</v>
      </c>
      <c r="N1239" s="3" t="s">
        <v>2323</v>
      </c>
    </row>
    <row r="1240" spans="1:14" x14ac:dyDescent="0.45">
      <c r="A1240" s="3" t="s">
        <v>487</v>
      </c>
      <c r="B1240" s="3" t="s">
        <v>2309</v>
      </c>
      <c r="C1240" s="3" t="s">
        <v>2046</v>
      </c>
      <c r="D1240" s="3" t="s">
        <v>2047</v>
      </c>
      <c r="E1240" s="3" t="s">
        <v>1252</v>
      </c>
      <c r="F1240" s="79">
        <v>59</v>
      </c>
      <c r="G1240" s="3" t="s">
        <v>1221</v>
      </c>
      <c r="H1240" s="3" t="s">
        <v>2012</v>
      </c>
      <c r="I1240" s="3"/>
      <c r="J1240" s="3" t="s">
        <v>1990</v>
      </c>
      <c r="K1240" s="3" t="s">
        <v>2084</v>
      </c>
      <c r="L1240" s="3"/>
      <c r="M1240" s="3" t="s">
        <v>2085</v>
      </c>
      <c r="N1240" s="3" t="s">
        <v>2323</v>
      </c>
    </row>
    <row r="1241" spans="1:14" x14ac:dyDescent="0.45">
      <c r="A1241" s="3" t="s">
        <v>487</v>
      </c>
      <c r="B1241" s="3" t="s">
        <v>2309</v>
      </c>
      <c r="C1241" s="3" t="s">
        <v>1331</v>
      </c>
      <c r="D1241" s="3" t="s">
        <v>1255</v>
      </c>
      <c r="E1241" s="3" t="s">
        <v>1332</v>
      </c>
      <c r="F1241" s="79">
        <v>63</v>
      </c>
      <c r="G1241" s="3" t="s">
        <v>1221</v>
      </c>
      <c r="H1241" s="3" t="s">
        <v>2012</v>
      </c>
      <c r="I1241" s="3"/>
      <c r="J1241" s="3" t="s">
        <v>1990</v>
      </c>
      <c r="K1241" s="3" t="s">
        <v>2051</v>
      </c>
      <c r="L1241" s="3"/>
      <c r="M1241" s="3" t="s">
        <v>2052</v>
      </c>
      <c r="N1241" s="3" t="s">
        <v>2324</v>
      </c>
    </row>
    <row r="1242" spans="1:14" x14ac:dyDescent="0.45">
      <c r="A1242" s="3" t="s">
        <v>487</v>
      </c>
      <c r="B1242" s="3" t="s">
        <v>2309</v>
      </c>
      <c r="C1242" s="3" t="s">
        <v>1337</v>
      </c>
      <c r="D1242" s="3" t="s">
        <v>1338</v>
      </c>
      <c r="E1242" s="3" t="s">
        <v>1339</v>
      </c>
      <c r="F1242" s="79">
        <v>62</v>
      </c>
      <c r="G1242" s="3" t="s">
        <v>1221</v>
      </c>
      <c r="H1242" s="3" t="s">
        <v>2012</v>
      </c>
      <c r="I1242" s="3"/>
      <c r="J1242" s="3" t="s">
        <v>1990</v>
      </c>
      <c r="K1242" s="3" t="s">
        <v>2054</v>
      </c>
      <c r="L1242" s="3"/>
      <c r="M1242" s="3" t="s">
        <v>2055</v>
      </c>
      <c r="N1242" s="3" t="s">
        <v>2325</v>
      </c>
    </row>
    <row r="1243" spans="1:14" x14ac:dyDescent="0.45">
      <c r="A1243" s="3" t="s">
        <v>487</v>
      </c>
      <c r="B1243" s="3" t="s">
        <v>2309</v>
      </c>
      <c r="C1243" s="3" t="s">
        <v>1344</v>
      </c>
      <c r="D1243" s="3" t="s">
        <v>1345</v>
      </c>
      <c r="E1243" s="3" t="s">
        <v>1346</v>
      </c>
      <c r="F1243" s="79">
        <v>78</v>
      </c>
      <c r="G1243" s="3" t="s">
        <v>1221</v>
      </c>
      <c r="H1243" s="3" t="s">
        <v>2012</v>
      </c>
      <c r="I1243" s="3"/>
      <c r="J1243" s="3" t="s">
        <v>1990</v>
      </c>
      <c r="K1243" s="3" t="s">
        <v>2057</v>
      </c>
      <c r="L1243" s="3"/>
      <c r="M1243" s="3" t="s">
        <v>2058</v>
      </c>
      <c r="N1243" s="3" t="s">
        <v>2326</v>
      </c>
    </row>
    <row r="1244" spans="1:14" x14ac:dyDescent="0.45">
      <c r="A1244" s="3" t="s">
        <v>487</v>
      </c>
      <c r="B1244" s="3" t="s">
        <v>2309</v>
      </c>
      <c r="C1244" s="3" t="s">
        <v>1254</v>
      </c>
      <c r="D1244" s="3" t="s">
        <v>1255</v>
      </c>
      <c r="E1244" s="3" t="s">
        <v>1256</v>
      </c>
      <c r="F1244" s="79">
        <v>272</v>
      </c>
      <c r="G1244" s="3" t="s">
        <v>1221</v>
      </c>
      <c r="H1244" s="3" t="s">
        <v>2012</v>
      </c>
      <c r="I1244" s="3"/>
      <c r="J1244" s="3" t="s">
        <v>1990</v>
      </c>
      <c r="K1244" s="3" t="s">
        <v>2048</v>
      </c>
      <c r="L1244" s="3"/>
      <c r="M1244" s="3" t="s">
        <v>2049</v>
      </c>
      <c r="N1244" s="3" t="s">
        <v>2327</v>
      </c>
    </row>
    <row r="1245" spans="1:14" x14ac:dyDescent="0.45">
      <c r="A1245" s="3" t="s">
        <v>487</v>
      </c>
      <c r="B1245" s="3" t="s">
        <v>2309</v>
      </c>
      <c r="C1245" s="3" t="s">
        <v>2060</v>
      </c>
      <c r="D1245" s="3" t="s">
        <v>2061</v>
      </c>
      <c r="E1245" s="3" t="s">
        <v>1256</v>
      </c>
      <c r="F1245" s="79">
        <v>69</v>
      </c>
      <c r="G1245" s="3" t="s">
        <v>1221</v>
      </c>
      <c r="H1245" s="3" t="s">
        <v>2012</v>
      </c>
      <c r="I1245" s="3"/>
      <c r="J1245" s="3" t="s">
        <v>1990</v>
      </c>
      <c r="K1245" s="3" t="s">
        <v>2048</v>
      </c>
      <c r="L1245" s="3"/>
      <c r="M1245" s="3" t="s">
        <v>2049</v>
      </c>
      <c r="N1245" s="3" t="s">
        <v>2327</v>
      </c>
    </row>
    <row r="1246" spans="1:14" x14ac:dyDescent="0.45">
      <c r="A1246" s="3" t="s">
        <v>487</v>
      </c>
      <c r="B1246" s="3" t="s">
        <v>2309</v>
      </c>
      <c r="C1246" s="3" t="s">
        <v>1350</v>
      </c>
      <c r="D1246" s="3" t="s">
        <v>1351</v>
      </c>
      <c r="E1246" s="3" t="s">
        <v>1352</v>
      </c>
      <c r="F1246" s="79">
        <v>69</v>
      </c>
      <c r="G1246" s="3" t="s">
        <v>1221</v>
      </c>
      <c r="H1246" s="3" t="s">
        <v>2012</v>
      </c>
      <c r="I1246" s="3"/>
      <c r="J1246" s="3" t="s">
        <v>1990</v>
      </c>
      <c r="K1246" s="3" t="s">
        <v>2062</v>
      </c>
      <c r="L1246" s="3"/>
      <c r="M1246" s="3" t="s">
        <v>2063</v>
      </c>
      <c r="N1246" s="3" t="s">
        <v>2328</v>
      </c>
    </row>
    <row r="1247" spans="1:14" x14ac:dyDescent="0.45">
      <c r="A1247" s="3" t="s">
        <v>487</v>
      </c>
      <c r="B1247" s="3" t="s">
        <v>2309</v>
      </c>
      <c r="C1247" s="3" t="s">
        <v>1354</v>
      </c>
      <c r="D1247" s="3" t="s">
        <v>1355</v>
      </c>
      <c r="E1247" s="3" t="s">
        <v>1356</v>
      </c>
      <c r="F1247" s="79">
        <v>74</v>
      </c>
      <c r="G1247" s="3" t="s">
        <v>1221</v>
      </c>
      <c r="H1247" s="3" t="s">
        <v>2012</v>
      </c>
      <c r="I1247" s="3"/>
      <c r="J1247" s="3" t="s">
        <v>1990</v>
      </c>
      <c r="K1247" s="3" t="s">
        <v>2065</v>
      </c>
      <c r="L1247" s="3"/>
      <c r="M1247" s="3" t="s">
        <v>2066</v>
      </c>
      <c r="N1247" s="3" t="s">
        <v>2329</v>
      </c>
    </row>
    <row r="1248" spans="1:14" x14ac:dyDescent="0.45">
      <c r="A1248" s="3" t="s">
        <v>1188</v>
      </c>
      <c r="B1248" s="3" t="s">
        <v>2330</v>
      </c>
      <c r="C1248" s="3" t="s">
        <v>2021</v>
      </c>
      <c r="D1248" s="3" t="s">
        <v>2022</v>
      </c>
      <c r="E1248" s="3" t="s">
        <v>1238</v>
      </c>
      <c r="F1248" s="79">
        <v>137</v>
      </c>
      <c r="G1248" s="3" t="s">
        <v>1221</v>
      </c>
      <c r="H1248" s="3" t="s">
        <v>1989</v>
      </c>
      <c r="I1248" s="3"/>
      <c r="J1248" s="3" t="s">
        <v>1990</v>
      </c>
      <c r="K1248" s="3" t="s">
        <v>2032</v>
      </c>
      <c r="L1248" s="3"/>
      <c r="M1248" s="3" t="s">
        <v>2033</v>
      </c>
      <c r="N1248" s="3" t="s">
        <v>2331</v>
      </c>
    </row>
    <row r="1249" spans="1:14" x14ac:dyDescent="0.45">
      <c r="A1249" s="3" t="s">
        <v>1188</v>
      </c>
      <c r="B1249" s="3" t="s">
        <v>2330</v>
      </c>
      <c r="C1249" s="3" t="s">
        <v>1287</v>
      </c>
      <c r="D1249" s="3" t="s">
        <v>1244</v>
      </c>
      <c r="E1249" s="3" t="s">
        <v>1288</v>
      </c>
      <c r="F1249" s="79">
        <v>150</v>
      </c>
      <c r="G1249" s="3" t="s">
        <v>1221</v>
      </c>
      <c r="H1249" s="3" t="s">
        <v>1989</v>
      </c>
      <c r="I1249" s="3"/>
      <c r="J1249" s="3" t="s">
        <v>1990</v>
      </c>
      <c r="K1249" s="3" t="s">
        <v>2037</v>
      </c>
      <c r="L1249" s="3"/>
      <c r="M1249" s="3" t="s">
        <v>2038</v>
      </c>
      <c r="N1249" s="3" t="s">
        <v>2332</v>
      </c>
    </row>
    <row r="1250" spans="1:14" x14ac:dyDescent="0.45">
      <c r="A1250" s="3" t="s">
        <v>1188</v>
      </c>
      <c r="B1250" s="3" t="s">
        <v>2330</v>
      </c>
      <c r="C1250" s="3" t="s">
        <v>1293</v>
      </c>
      <c r="D1250" s="3" t="s">
        <v>1294</v>
      </c>
      <c r="E1250" s="3" t="s">
        <v>1295</v>
      </c>
      <c r="F1250" s="79">
        <v>177</v>
      </c>
      <c r="G1250" s="3" t="s">
        <v>1221</v>
      </c>
      <c r="H1250" s="3" t="s">
        <v>1989</v>
      </c>
      <c r="I1250" s="3"/>
      <c r="J1250" s="3" t="s">
        <v>1990</v>
      </c>
      <c r="K1250" s="3" t="s">
        <v>2040</v>
      </c>
      <c r="L1250" s="3"/>
      <c r="M1250" s="3" t="s">
        <v>2041</v>
      </c>
      <c r="N1250" s="3" t="s">
        <v>2333</v>
      </c>
    </row>
    <row r="1251" spans="1:14" x14ac:dyDescent="0.45">
      <c r="A1251" s="3" t="s">
        <v>1188</v>
      </c>
      <c r="B1251" s="3" t="s">
        <v>2330</v>
      </c>
      <c r="C1251" s="3" t="s">
        <v>1300</v>
      </c>
      <c r="D1251" s="3" t="s">
        <v>1301</v>
      </c>
      <c r="E1251" s="3" t="s">
        <v>1302</v>
      </c>
      <c r="F1251" s="79">
        <v>182</v>
      </c>
      <c r="G1251" s="3" t="s">
        <v>1221</v>
      </c>
      <c r="H1251" s="3" t="s">
        <v>1989</v>
      </c>
      <c r="I1251" s="3"/>
      <c r="J1251" s="3" t="s">
        <v>1990</v>
      </c>
      <c r="K1251" s="3" t="s">
        <v>2043</v>
      </c>
      <c r="L1251" s="3"/>
      <c r="M1251" s="3" t="s">
        <v>2044</v>
      </c>
      <c r="N1251" s="3" t="s">
        <v>2334</v>
      </c>
    </row>
    <row r="1252" spans="1:14" x14ac:dyDescent="0.45">
      <c r="A1252" s="3" t="s">
        <v>1188</v>
      </c>
      <c r="B1252" s="3" t="s">
        <v>2330</v>
      </c>
      <c r="C1252" s="3" t="s">
        <v>1243</v>
      </c>
      <c r="D1252" s="3" t="s">
        <v>1244</v>
      </c>
      <c r="E1252" s="3" t="s">
        <v>1245</v>
      </c>
      <c r="F1252" s="79">
        <v>686</v>
      </c>
      <c r="G1252" s="3" t="s">
        <v>1221</v>
      </c>
      <c r="H1252" s="3" t="s">
        <v>2012</v>
      </c>
      <c r="I1252" s="3"/>
      <c r="J1252" s="3" t="s">
        <v>1990</v>
      </c>
      <c r="K1252" s="3" t="s">
        <v>2032</v>
      </c>
      <c r="L1252" s="3"/>
      <c r="M1252" s="3" t="s">
        <v>2033</v>
      </c>
      <c r="N1252" s="3" t="s">
        <v>2331</v>
      </c>
    </row>
    <row r="1253" spans="1:14" x14ac:dyDescent="0.45">
      <c r="A1253" s="3" t="s">
        <v>1188</v>
      </c>
      <c r="B1253" s="3" t="s">
        <v>2330</v>
      </c>
      <c r="C1253" s="3" t="s">
        <v>2035</v>
      </c>
      <c r="D1253" s="3" t="s">
        <v>2036</v>
      </c>
      <c r="E1253" s="3" t="s">
        <v>1245</v>
      </c>
      <c r="F1253" s="79">
        <v>176</v>
      </c>
      <c r="G1253" s="3" t="s">
        <v>1221</v>
      </c>
      <c r="H1253" s="3" t="s">
        <v>2012</v>
      </c>
      <c r="I1253" s="3"/>
      <c r="J1253" s="3" t="s">
        <v>1990</v>
      </c>
      <c r="K1253" s="3" t="s">
        <v>2032</v>
      </c>
      <c r="L1253" s="3"/>
      <c r="M1253" s="3" t="s">
        <v>2033</v>
      </c>
      <c r="N1253" s="3" t="s">
        <v>2331</v>
      </c>
    </row>
    <row r="1254" spans="1:14" x14ac:dyDescent="0.45">
      <c r="A1254" s="3" t="s">
        <v>1188</v>
      </c>
      <c r="B1254" s="3" t="s">
        <v>2330</v>
      </c>
      <c r="C1254" s="3" t="s">
        <v>1309</v>
      </c>
      <c r="D1254" s="3" t="s">
        <v>1251</v>
      </c>
      <c r="E1254" s="3" t="s">
        <v>1310</v>
      </c>
      <c r="F1254" s="79">
        <v>190</v>
      </c>
      <c r="G1254" s="3" t="s">
        <v>1221</v>
      </c>
      <c r="H1254" s="3" t="s">
        <v>2012</v>
      </c>
      <c r="I1254" s="3"/>
      <c r="J1254" s="3" t="s">
        <v>1990</v>
      </c>
      <c r="K1254" s="3" t="s">
        <v>2037</v>
      </c>
      <c r="L1254" s="3"/>
      <c r="M1254" s="3" t="s">
        <v>2038</v>
      </c>
      <c r="N1254" s="3" t="s">
        <v>2332</v>
      </c>
    </row>
    <row r="1255" spans="1:14" x14ac:dyDescent="0.45">
      <c r="A1255" s="3" t="s">
        <v>1188</v>
      </c>
      <c r="B1255" s="3" t="s">
        <v>2330</v>
      </c>
      <c r="C1255" s="3" t="s">
        <v>1315</v>
      </c>
      <c r="D1255" s="3" t="s">
        <v>1316</v>
      </c>
      <c r="E1255" s="3" t="s">
        <v>1317</v>
      </c>
      <c r="F1255" s="79">
        <v>217</v>
      </c>
      <c r="G1255" s="3" t="s">
        <v>1221</v>
      </c>
      <c r="H1255" s="3" t="s">
        <v>2012</v>
      </c>
      <c r="I1255" s="3"/>
      <c r="J1255" s="3" t="s">
        <v>1990</v>
      </c>
      <c r="K1255" s="3" t="s">
        <v>2040</v>
      </c>
      <c r="L1255" s="3"/>
      <c r="M1255" s="3" t="s">
        <v>2041</v>
      </c>
      <c r="N1255" s="3" t="s">
        <v>2333</v>
      </c>
    </row>
    <row r="1256" spans="1:14" x14ac:dyDescent="0.45">
      <c r="A1256" s="3" t="s">
        <v>1188</v>
      </c>
      <c r="B1256" s="3" t="s">
        <v>2330</v>
      </c>
      <c r="C1256" s="3" t="s">
        <v>1322</v>
      </c>
      <c r="D1256" s="3" t="s">
        <v>1323</v>
      </c>
      <c r="E1256" s="3" t="s">
        <v>1324</v>
      </c>
      <c r="F1256" s="79">
        <v>232</v>
      </c>
      <c r="G1256" s="3" t="s">
        <v>1221</v>
      </c>
      <c r="H1256" s="3" t="s">
        <v>2012</v>
      </c>
      <c r="I1256" s="3"/>
      <c r="J1256" s="3" t="s">
        <v>1990</v>
      </c>
      <c r="K1256" s="3" t="s">
        <v>2043</v>
      </c>
      <c r="L1256" s="3"/>
      <c r="M1256" s="3" t="s">
        <v>2044</v>
      </c>
      <c r="N1256" s="3" t="s">
        <v>2334</v>
      </c>
    </row>
    <row r="1257" spans="1:14" x14ac:dyDescent="0.45">
      <c r="A1257" s="3" t="s">
        <v>1188</v>
      </c>
      <c r="B1257" s="3" t="s">
        <v>2330</v>
      </c>
      <c r="C1257" s="3" t="s">
        <v>1250</v>
      </c>
      <c r="D1257" s="3" t="s">
        <v>1251</v>
      </c>
      <c r="E1257" s="3" t="s">
        <v>1252</v>
      </c>
      <c r="F1257" s="79">
        <v>878</v>
      </c>
      <c r="G1257" s="3" t="s">
        <v>1221</v>
      </c>
      <c r="H1257" s="3" t="s">
        <v>2012</v>
      </c>
      <c r="I1257" s="3"/>
      <c r="J1257" s="3" t="s">
        <v>1990</v>
      </c>
      <c r="K1257" s="3" t="s">
        <v>2084</v>
      </c>
      <c r="L1257" s="3"/>
      <c r="M1257" s="3" t="s">
        <v>2085</v>
      </c>
      <c r="N1257" s="3" t="s">
        <v>2335</v>
      </c>
    </row>
    <row r="1258" spans="1:14" x14ac:dyDescent="0.45">
      <c r="A1258" s="3" t="s">
        <v>1188</v>
      </c>
      <c r="B1258" s="3" t="s">
        <v>2330</v>
      </c>
      <c r="C1258" s="3" t="s">
        <v>2046</v>
      </c>
      <c r="D1258" s="3" t="s">
        <v>2047</v>
      </c>
      <c r="E1258" s="3" t="s">
        <v>1252</v>
      </c>
      <c r="F1258" s="79">
        <v>238</v>
      </c>
      <c r="G1258" s="3" t="s">
        <v>1221</v>
      </c>
      <c r="H1258" s="3" t="s">
        <v>2012</v>
      </c>
      <c r="I1258" s="3"/>
      <c r="J1258" s="3" t="s">
        <v>1990</v>
      </c>
      <c r="K1258" s="3" t="s">
        <v>2084</v>
      </c>
      <c r="L1258" s="3"/>
      <c r="M1258" s="3" t="s">
        <v>2085</v>
      </c>
      <c r="N1258" s="3" t="s">
        <v>2335</v>
      </c>
    </row>
    <row r="1259" spans="1:14" x14ac:dyDescent="0.45">
      <c r="A1259" s="3" t="s">
        <v>1188</v>
      </c>
      <c r="B1259" s="3" t="s">
        <v>2330</v>
      </c>
      <c r="C1259" s="3" t="s">
        <v>1331</v>
      </c>
      <c r="D1259" s="3" t="s">
        <v>1255</v>
      </c>
      <c r="E1259" s="3" t="s">
        <v>1332</v>
      </c>
      <c r="F1259" s="79">
        <v>251</v>
      </c>
      <c r="G1259" s="3" t="s">
        <v>1221</v>
      </c>
      <c r="H1259" s="3" t="s">
        <v>2012</v>
      </c>
      <c r="I1259" s="3"/>
      <c r="J1259" s="3" t="s">
        <v>1990</v>
      </c>
      <c r="K1259" s="3" t="s">
        <v>2051</v>
      </c>
      <c r="L1259" s="3"/>
      <c r="M1259" s="3" t="s">
        <v>2052</v>
      </c>
      <c r="N1259" s="3" t="s">
        <v>2336</v>
      </c>
    </row>
    <row r="1260" spans="1:14" x14ac:dyDescent="0.45">
      <c r="A1260" s="3" t="s">
        <v>1188</v>
      </c>
      <c r="B1260" s="3" t="s">
        <v>2330</v>
      </c>
      <c r="C1260" s="3" t="s">
        <v>1337</v>
      </c>
      <c r="D1260" s="3" t="s">
        <v>1338</v>
      </c>
      <c r="E1260" s="3" t="s">
        <v>1339</v>
      </c>
      <c r="F1260" s="79">
        <v>284</v>
      </c>
      <c r="G1260" s="3" t="s">
        <v>1221</v>
      </c>
      <c r="H1260" s="3" t="s">
        <v>2012</v>
      </c>
      <c r="I1260" s="3"/>
      <c r="J1260" s="3" t="s">
        <v>1990</v>
      </c>
      <c r="K1260" s="3" t="s">
        <v>2054</v>
      </c>
      <c r="L1260" s="3"/>
      <c r="M1260" s="3" t="s">
        <v>2055</v>
      </c>
      <c r="N1260" s="3" t="s">
        <v>2337</v>
      </c>
    </row>
    <row r="1261" spans="1:14" x14ac:dyDescent="0.45">
      <c r="A1261" s="3" t="s">
        <v>1188</v>
      </c>
      <c r="B1261" s="3" t="s">
        <v>2330</v>
      </c>
      <c r="C1261" s="3" t="s">
        <v>1344</v>
      </c>
      <c r="D1261" s="3" t="s">
        <v>1345</v>
      </c>
      <c r="E1261" s="3" t="s">
        <v>1346</v>
      </c>
      <c r="F1261" s="79">
        <v>313</v>
      </c>
      <c r="G1261" s="3" t="s">
        <v>1221</v>
      </c>
      <c r="H1261" s="3" t="s">
        <v>2012</v>
      </c>
      <c r="I1261" s="3"/>
      <c r="J1261" s="3" t="s">
        <v>1990</v>
      </c>
      <c r="K1261" s="3" t="s">
        <v>2057</v>
      </c>
      <c r="L1261" s="3"/>
      <c r="M1261" s="3" t="s">
        <v>2058</v>
      </c>
      <c r="N1261" s="3" t="s">
        <v>2338</v>
      </c>
    </row>
    <row r="1262" spans="1:14" x14ac:dyDescent="0.45">
      <c r="A1262" s="3" t="s">
        <v>1188</v>
      </c>
      <c r="B1262" s="3" t="s">
        <v>2330</v>
      </c>
      <c r="C1262" s="3" t="s">
        <v>1254</v>
      </c>
      <c r="D1262" s="3" t="s">
        <v>1255</v>
      </c>
      <c r="E1262" s="3" t="s">
        <v>1256</v>
      </c>
      <c r="F1262" s="79">
        <v>1146</v>
      </c>
      <c r="G1262" s="3" t="s">
        <v>1221</v>
      </c>
      <c r="H1262" s="3" t="s">
        <v>2012</v>
      </c>
      <c r="I1262" s="3"/>
      <c r="J1262" s="3" t="s">
        <v>1990</v>
      </c>
      <c r="K1262" s="3" t="s">
        <v>2048</v>
      </c>
      <c r="L1262" s="3"/>
      <c r="M1262" s="3" t="s">
        <v>2049</v>
      </c>
      <c r="N1262" s="3" t="s">
        <v>2339</v>
      </c>
    </row>
    <row r="1263" spans="1:14" x14ac:dyDescent="0.45">
      <c r="A1263" s="3" t="s">
        <v>1188</v>
      </c>
      <c r="B1263" s="3" t="s">
        <v>2330</v>
      </c>
      <c r="C1263" s="3" t="s">
        <v>2060</v>
      </c>
      <c r="D1263" s="3" t="s">
        <v>2061</v>
      </c>
      <c r="E1263" s="3" t="s">
        <v>1256</v>
      </c>
      <c r="F1263" s="79">
        <v>298</v>
      </c>
      <c r="G1263" s="3" t="s">
        <v>1221</v>
      </c>
      <c r="H1263" s="3" t="s">
        <v>2012</v>
      </c>
      <c r="I1263" s="3"/>
      <c r="J1263" s="3" t="s">
        <v>1990</v>
      </c>
      <c r="K1263" s="3" t="s">
        <v>2048</v>
      </c>
      <c r="L1263" s="3"/>
      <c r="M1263" s="3" t="s">
        <v>2049</v>
      </c>
      <c r="N1263" s="3" t="s">
        <v>2339</v>
      </c>
    </row>
    <row r="1264" spans="1:14" x14ac:dyDescent="0.45">
      <c r="A1264" s="3" t="s">
        <v>1188</v>
      </c>
      <c r="B1264" s="3" t="s">
        <v>2330</v>
      </c>
      <c r="C1264" s="3" t="s">
        <v>1350</v>
      </c>
      <c r="D1264" s="3" t="s">
        <v>1351</v>
      </c>
      <c r="E1264" s="3" t="s">
        <v>1352</v>
      </c>
      <c r="F1264" s="79">
        <v>312</v>
      </c>
      <c r="G1264" s="3" t="s">
        <v>1221</v>
      </c>
      <c r="H1264" s="3" t="s">
        <v>2012</v>
      </c>
      <c r="I1264" s="3"/>
      <c r="J1264" s="3" t="s">
        <v>1990</v>
      </c>
      <c r="K1264" s="3" t="s">
        <v>2062</v>
      </c>
      <c r="L1264" s="3"/>
      <c r="M1264" s="3" t="s">
        <v>2063</v>
      </c>
      <c r="N1264" s="3" t="s">
        <v>2340</v>
      </c>
    </row>
    <row r="1265" spans="1:14" x14ac:dyDescent="0.45">
      <c r="A1265" s="3" t="s">
        <v>1188</v>
      </c>
      <c r="B1265" s="3" t="s">
        <v>2330</v>
      </c>
      <c r="C1265" s="3" t="s">
        <v>1354</v>
      </c>
      <c r="D1265" s="3" t="s">
        <v>1355</v>
      </c>
      <c r="E1265" s="3" t="s">
        <v>1356</v>
      </c>
      <c r="F1265" s="79">
        <v>359</v>
      </c>
      <c r="G1265" s="3" t="s">
        <v>1221</v>
      </c>
      <c r="H1265" s="3" t="s">
        <v>2012</v>
      </c>
      <c r="I1265" s="3"/>
      <c r="J1265" s="3" t="s">
        <v>1990</v>
      </c>
      <c r="K1265" s="3" t="s">
        <v>2065</v>
      </c>
      <c r="L1265" s="3"/>
      <c r="M1265" s="3" t="s">
        <v>2066</v>
      </c>
      <c r="N1265" s="3" t="s">
        <v>2341</v>
      </c>
    </row>
    <row r="1266" spans="1:14" x14ac:dyDescent="0.45">
      <c r="A1266" s="3" t="s">
        <v>1190</v>
      </c>
      <c r="B1266" s="3" t="s">
        <v>2342</v>
      </c>
      <c r="C1266" s="3" t="s">
        <v>2021</v>
      </c>
      <c r="D1266" s="3" t="s">
        <v>2022</v>
      </c>
      <c r="E1266" s="3" t="s">
        <v>1238</v>
      </c>
      <c r="F1266" s="79">
        <v>-35</v>
      </c>
      <c r="G1266" s="3" t="s">
        <v>1221</v>
      </c>
      <c r="H1266" s="3" t="s">
        <v>1989</v>
      </c>
      <c r="I1266" s="3"/>
      <c r="J1266" s="3" t="s">
        <v>1990</v>
      </c>
      <c r="K1266" s="3" t="s">
        <v>2032</v>
      </c>
      <c r="L1266" s="3"/>
      <c r="M1266" s="3" t="s">
        <v>2033</v>
      </c>
      <c r="N1266" s="3" t="s">
        <v>2343</v>
      </c>
    </row>
    <row r="1267" spans="1:14" x14ac:dyDescent="0.45">
      <c r="A1267" s="3" t="s">
        <v>1190</v>
      </c>
      <c r="B1267" s="3" t="s">
        <v>2342</v>
      </c>
      <c r="C1267" s="3" t="s">
        <v>1287</v>
      </c>
      <c r="D1267" s="3" t="s">
        <v>1244</v>
      </c>
      <c r="E1267" s="3" t="s">
        <v>1288</v>
      </c>
      <c r="F1267" s="79">
        <v>-40</v>
      </c>
      <c r="G1267" s="3" t="s">
        <v>1221</v>
      </c>
      <c r="H1267" s="3" t="s">
        <v>1989</v>
      </c>
      <c r="I1267" s="3"/>
      <c r="J1267" s="3" t="s">
        <v>1990</v>
      </c>
      <c r="K1267" s="3" t="s">
        <v>2037</v>
      </c>
      <c r="L1267" s="3"/>
      <c r="M1267" s="3" t="s">
        <v>2038</v>
      </c>
      <c r="N1267" s="3" t="s">
        <v>2344</v>
      </c>
    </row>
    <row r="1268" spans="1:14" x14ac:dyDescent="0.45">
      <c r="A1268" s="3" t="s">
        <v>1190</v>
      </c>
      <c r="B1268" s="3" t="s">
        <v>2342</v>
      </c>
      <c r="C1268" s="3" t="s">
        <v>1293</v>
      </c>
      <c r="D1268" s="3" t="s">
        <v>1294</v>
      </c>
      <c r="E1268" s="3" t="s">
        <v>1295</v>
      </c>
      <c r="F1268" s="79">
        <v>-42</v>
      </c>
      <c r="G1268" s="3" t="s">
        <v>1221</v>
      </c>
      <c r="H1268" s="3" t="s">
        <v>1989</v>
      </c>
      <c r="I1268" s="3"/>
      <c r="J1268" s="3" t="s">
        <v>1990</v>
      </c>
      <c r="K1268" s="3" t="s">
        <v>2040</v>
      </c>
      <c r="L1268" s="3"/>
      <c r="M1268" s="3" t="s">
        <v>2041</v>
      </c>
      <c r="N1268" s="3" t="s">
        <v>2345</v>
      </c>
    </row>
    <row r="1269" spans="1:14" x14ac:dyDescent="0.45">
      <c r="A1269" s="3" t="s">
        <v>1190</v>
      </c>
      <c r="B1269" s="3" t="s">
        <v>2342</v>
      </c>
      <c r="C1269" s="3" t="s">
        <v>1300</v>
      </c>
      <c r="D1269" s="3" t="s">
        <v>1301</v>
      </c>
      <c r="E1269" s="3" t="s">
        <v>1302</v>
      </c>
      <c r="F1269" s="79">
        <v>-36</v>
      </c>
      <c r="G1269" s="3" t="s">
        <v>1221</v>
      </c>
      <c r="H1269" s="3" t="s">
        <v>1989</v>
      </c>
      <c r="I1269" s="3"/>
      <c r="J1269" s="3" t="s">
        <v>1990</v>
      </c>
      <c r="K1269" s="3" t="s">
        <v>2043</v>
      </c>
      <c r="L1269" s="3"/>
      <c r="M1269" s="3" t="s">
        <v>2044</v>
      </c>
      <c r="N1269" s="3" t="s">
        <v>2346</v>
      </c>
    </row>
    <row r="1270" spans="1:14" x14ac:dyDescent="0.45">
      <c r="A1270" s="3" t="s">
        <v>1190</v>
      </c>
      <c r="B1270" s="3" t="s">
        <v>2342</v>
      </c>
      <c r="C1270" s="3" t="s">
        <v>1243</v>
      </c>
      <c r="D1270" s="3" t="s">
        <v>1244</v>
      </c>
      <c r="E1270" s="3" t="s">
        <v>1245</v>
      </c>
      <c r="F1270" s="79">
        <v>-154</v>
      </c>
      <c r="G1270" s="3" t="s">
        <v>1221</v>
      </c>
      <c r="H1270" s="3" t="s">
        <v>2012</v>
      </c>
      <c r="I1270" s="3"/>
      <c r="J1270" s="3" t="s">
        <v>1990</v>
      </c>
      <c r="K1270" s="3" t="s">
        <v>2032</v>
      </c>
      <c r="L1270" s="3"/>
      <c r="M1270" s="3" t="s">
        <v>2033</v>
      </c>
      <c r="N1270" s="3" t="s">
        <v>2343</v>
      </c>
    </row>
    <row r="1271" spans="1:14" x14ac:dyDescent="0.45">
      <c r="A1271" s="3" t="s">
        <v>1190</v>
      </c>
      <c r="B1271" s="3" t="s">
        <v>2342</v>
      </c>
      <c r="C1271" s="3" t="s">
        <v>2035</v>
      </c>
      <c r="D1271" s="3" t="s">
        <v>2036</v>
      </c>
      <c r="E1271" s="3" t="s">
        <v>1245</v>
      </c>
      <c r="F1271" s="79">
        <v>-36</v>
      </c>
      <c r="G1271" s="3" t="s">
        <v>1221</v>
      </c>
      <c r="H1271" s="3" t="s">
        <v>2012</v>
      </c>
      <c r="I1271" s="3"/>
      <c r="J1271" s="3" t="s">
        <v>1990</v>
      </c>
      <c r="K1271" s="3" t="s">
        <v>2032</v>
      </c>
      <c r="L1271" s="3"/>
      <c r="M1271" s="3" t="s">
        <v>2033</v>
      </c>
      <c r="N1271" s="3" t="s">
        <v>2343</v>
      </c>
    </row>
    <row r="1272" spans="1:14" x14ac:dyDescent="0.45">
      <c r="A1272" s="3" t="s">
        <v>1190</v>
      </c>
      <c r="B1272" s="3" t="s">
        <v>2342</v>
      </c>
      <c r="C1272" s="3" t="s">
        <v>1309</v>
      </c>
      <c r="D1272" s="3" t="s">
        <v>1251</v>
      </c>
      <c r="E1272" s="3" t="s">
        <v>1310</v>
      </c>
      <c r="F1272" s="79">
        <v>-35</v>
      </c>
      <c r="G1272" s="3" t="s">
        <v>1221</v>
      </c>
      <c r="H1272" s="3" t="s">
        <v>2012</v>
      </c>
      <c r="I1272" s="3"/>
      <c r="J1272" s="3" t="s">
        <v>1990</v>
      </c>
      <c r="K1272" s="3" t="s">
        <v>2037</v>
      </c>
      <c r="L1272" s="3"/>
      <c r="M1272" s="3" t="s">
        <v>2038</v>
      </c>
      <c r="N1272" s="3" t="s">
        <v>2344</v>
      </c>
    </row>
    <row r="1273" spans="1:14" x14ac:dyDescent="0.45">
      <c r="A1273" s="3" t="s">
        <v>1190</v>
      </c>
      <c r="B1273" s="3" t="s">
        <v>2342</v>
      </c>
      <c r="C1273" s="3" t="s">
        <v>1315</v>
      </c>
      <c r="D1273" s="3" t="s">
        <v>1316</v>
      </c>
      <c r="E1273" s="3" t="s">
        <v>1317</v>
      </c>
      <c r="F1273" s="79">
        <v>-36</v>
      </c>
      <c r="G1273" s="3" t="s">
        <v>1221</v>
      </c>
      <c r="H1273" s="3" t="s">
        <v>2012</v>
      </c>
      <c r="I1273" s="3"/>
      <c r="J1273" s="3" t="s">
        <v>1990</v>
      </c>
      <c r="K1273" s="3" t="s">
        <v>2040</v>
      </c>
      <c r="L1273" s="3"/>
      <c r="M1273" s="3" t="s">
        <v>2041</v>
      </c>
      <c r="N1273" s="3" t="s">
        <v>2345</v>
      </c>
    </row>
    <row r="1274" spans="1:14" x14ac:dyDescent="0.45">
      <c r="A1274" s="3" t="s">
        <v>1190</v>
      </c>
      <c r="B1274" s="3" t="s">
        <v>2342</v>
      </c>
      <c r="C1274" s="3" t="s">
        <v>1322</v>
      </c>
      <c r="D1274" s="3" t="s">
        <v>1323</v>
      </c>
      <c r="E1274" s="3" t="s">
        <v>1324</v>
      </c>
      <c r="F1274" s="79">
        <v>-36</v>
      </c>
      <c r="G1274" s="3" t="s">
        <v>1221</v>
      </c>
      <c r="H1274" s="3" t="s">
        <v>2012</v>
      </c>
      <c r="I1274" s="3"/>
      <c r="J1274" s="3" t="s">
        <v>1990</v>
      </c>
      <c r="K1274" s="3" t="s">
        <v>2043</v>
      </c>
      <c r="L1274" s="3"/>
      <c r="M1274" s="3" t="s">
        <v>2044</v>
      </c>
      <c r="N1274" s="3" t="s">
        <v>2346</v>
      </c>
    </row>
    <row r="1275" spans="1:14" x14ac:dyDescent="0.45">
      <c r="A1275" s="3" t="s">
        <v>1190</v>
      </c>
      <c r="B1275" s="3" t="s">
        <v>2342</v>
      </c>
      <c r="C1275" s="3" t="s">
        <v>1250</v>
      </c>
      <c r="D1275" s="3" t="s">
        <v>1251</v>
      </c>
      <c r="E1275" s="3" t="s">
        <v>1252</v>
      </c>
      <c r="F1275" s="79">
        <v>-145</v>
      </c>
      <c r="G1275" s="3" t="s">
        <v>1221</v>
      </c>
      <c r="H1275" s="3" t="s">
        <v>2012</v>
      </c>
      <c r="I1275" s="3"/>
      <c r="J1275" s="3" t="s">
        <v>1990</v>
      </c>
      <c r="K1275" s="3" t="s">
        <v>2084</v>
      </c>
      <c r="L1275" s="3"/>
      <c r="M1275" s="3" t="s">
        <v>2085</v>
      </c>
      <c r="N1275" s="3" t="s">
        <v>2347</v>
      </c>
    </row>
    <row r="1276" spans="1:14" x14ac:dyDescent="0.45">
      <c r="A1276" s="3" t="s">
        <v>1190</v>
      </c>
      <c r="B1276" s="3" t="s">
        <v>2342</v>
      </c>
      <c r="C1276" s="3" t="s">
        <v>2046</v>
      </c>
      <c r="D1276" s="3" t="s">
        <v>2047</v>
      </c>
      <c r="E1276" s="3" t="s">
        <v>1252</v>
      </c>
      <c r="F1276" s="79">
        <v>-38</v>
      </c>
      <c r="G1276" s="3" t="s">
        <v>1221</v>
      </c>
      <c r="H1276" s="3" t="s">
        <v>2012</v>
      </c>
      <c r="I1276" s="3"/>
      <c r="J1276" s="3" t="s">
        <v>1990</v>
      </c>
      <c r="K1276" s="3" t="s">
        <v>2084</v>
      </c>
      <c r="L1276" s="3"/>
      <c r="M1276" s="3" t="s">
        <v>2085</v>
      </c>
      <c r="N1276" s="3" t="s">
        <v>2347</v>
      </c>
    </row>
    <row r="1277" spans="1:14" x14ac:dyDescent="0.45">
      <c r="A1277" s="3" t="s">
        <v>1190</v>
      </c>
      <c r="B1277" s="3" t="s">
        <v>2342</v>
      </c>
      <c r="C1277" s="3" t="s">
        <v>1331</v>
      </c>
      <c r="D1277" s="3" t="s">
        <v>1255</v>
      </c>
      <c r="E1277" s="3" t="s">
        <v>1332</v>
      </c>
      <c r="F1277" s="79">
        <v>-41</v>
      </c>
      <c r="G1277" s="3" t="s">
        <v>1221</v>
      </c>
      <c r="H1277" s="3" t="s">
        <v>2012</v>
      </c>
      <c r="I1277" s="3"/>
      <c r="J1277" s="3" t="s">
        <v>1990</v>
      </c>
      <c r="K1277" s="3" t="s">
        <v>2051</v>
      </c>
      <c r="L1277" s="3"/>
      <c r="M1277" s="3" t="s">
        <v>2052</v>
      </c>
      <c r="N1277" s="3" t="s">
        <v>2348</v>
      </c>
    </row>
    <row r="1278" spans="1:14" x14ac:dyDescent="0.45">
      <c r="A1278" s="3" t="s">
        <v>1190</v>
      </c>
      <c r="B1278" s="3" t="s">
        <v>2342</v>
      </c>
      <c r="C1278" s="3" t="s">
        <v>1337</v>
      </c>
      <c r="D1278" s="3" t="s">
        <v>1338</v>
      </c>
      <c r="E1278" s="3" t="s">
        <v>1339</v>
      </c>
      <c r="F1278" s="79">
        <v>-48</v>
      </c>
      <c r="G1278" s="3" t="s">
        <v>1221</v>
      </c>
      <c r="H1278" s="3" t="s">
        <v>2012</v>
      </c>
      <c r="I1278" s="3"/>
      <c r="J1278" s="3" t="s">
        <v>1990</v>
      </c>
      <c r="K1278" s="3" t="s">
        <v>2054</v>
      </c>
      <c r="L1278" s="3"/>
      <c r="M1278" s="3" t="s">
        <v>2055</v>
      </c>
      <c r="N1278" s="3" t="s">
        <v>2349</v>
      </c>
    </row>
    <row r="1279" spans="1:14" x14ac:dyDescent="0.45">
      <c r="A1279" s="3" t="s">
        <v>1190</v>
      </c>
      <c r="B1279" s="3" t="s">
        <v>2342</v>
      </c>
      <c r="C1279" s="3" t="s">
        <v>1344</v>
      </c>
      <c r="D1279" s="3" t="s">
        <v>1345</v>
      </c>
      <c r="E1279" s="3" t="s">
        <v>1346</v>
      </c>
      <c r="F1279" s="79">
        <v>-51</v>
      </c>
      <c r="G1279" s="3" t="s">
        <v>1221</v>
      </c>
      <c r="H1279" s="3" t="s">
        <v>2012</v>
      </c>
      <c r="I1279" s="3"/>
      <c r="J1279" s="3" t="s">
        <v>1990</v>
      </c>
      <c r="K1279" s="3" t="s">
        <v>2057</v>
      </c>
      <c r="L1279" s="3"/>
      <c r="M1279" s="3" t="s">
        <v>2058</v>
      </c>
      <c r="N1279" s="3" t="s">
        <v>2350</v>
      </c>
    </row>
    <row r="1280" spans="1:14" x14ac:dyDescent="0.45">
      <c r="A1280" s="3" t="s">
        <v>1190</v>
      </c>
      <c r="B1280" s="3" t="s">
        <v>2342</v>
      </c>
      <c r="C1280" s="3" t="s">
        <v>1254</v>
      </c>
      <c r="D1280" s="3" t="s">
        <v>1255</v>
      </c>
      <c r="E1280" s="3" t="s">
        <v>1256</v>
      </c>
      <c r="F1280" s="79">
        <v>-197</v>
      </c>
      <c r="G1280" s="3" t="s">
        <v>1221</v>
      </c>
      <c r="H1280" s="3" t="s">
        <v>2012</v>
      </c>
      <c r="I1280" s="3"/>
      <c r="J1280" s="3" t="s">
        <v>1990</v>
      </c>
      <c r="K1280" s="3" t="s">
        <v>2048</v>
      </c>
      <c r="L1280" s="3"/>
      <c r="M1280" s="3" t="s">
        <v>2049</v>
      </c>
      <c r="N1280" s="3" t="s">
        <v>2351</v>
      </c>
    </row>
    <row r="1281" spans="1:14" x14ac:dyDescent="0.45">
      <c r="A1281" s="3" t="s">
        <v>1190</v>
      </c>
      <c r="B1281" s="3" t="s">
        <v>2342</v>
      </c>
      <c r="C1281" s="3" t="s">
        <v>2060</v>
      </c>
      <c r="D1281" s="3" t="s">
        <v>2061</v>
      </c>
      <c r="E1281" s="3" t="s">
        <v>1256</v>
      </c>
      <c r="F1281" s="79">
        <v>-57</v>
      </c>
      <c r="G1281" s="3" t="s">
        <v>1221</v>
      </c>
      <c r="H1281" s="3" t="s">
        <v>2012</v>
      </c>
      <c r="I1281" s="3"/>
      <c r="J1281" s="3" t="s">
        <v>1990</v>
      </c>
      <c r="K1281" s="3" t="s">
        <v>2048</v>
      </c>
      <c r="L1281" s="3"/>
      <c r="M1281" s="3" t="s">
        <v>2049</v>
      </c>
      <c r="N1281" s="3" t="s">
        <v>2351</v>
      </c>
    </row>
    <row r="1282" spans="1:14" x14ac:dyDescent="0.45">
      <c r="A1282" s="3" t="s">
        <v>1190</v>
      </c>
      <c r="B1282" s="3" t="s">
        <v>2342</v>
      </c>
      <c r="C1282" s="3" t="s">
        <v>1350</v>
      </c>
      <c r="D1282" s="3" t="s">
        <v>1351</v>
      </c>
      <c r="E1282" s="3" t="s">
        <v>1352</v>
      </c>
      <c r="F1282" s="79">
        <v>-68</v>
      </c>
      <c r="G1282" s="3" t="s">
        <v>1221</v>
      </c>
      <c r="H1282" s="3" t="s">
        <v>2012</v>
      </c>
      <c r="I1282" s="3"/>
      <c r="J1282" s="3" t="s">
        <v>1990</v>
      </c>
      <c r="K1282" s="3" t="s">
        <v>2062</v>
      </c>
      <c r="L1282" s="3"/>
      <c r="M1282" s="3" t="s">
        <v>2063</v>
      </c>
      <c r="N1282" s="3" t="s">
        <v>2352</v>
      </c>
    </row>
    <row r="1283" spans="1:14" x14ac:dyDescent="0.45">
      <c r="A1283" s="3" t="s">
        <v>1190</v>
      </c>
      <c r="B1283" s="3" t="s">
        <v>2342</v>
      </c>
      <c r="C1283" s="3" t="s">
        <v>1354</v>
      </c>
      <c r="D1283" s="3" t="s">
        <v>1355</v>
      </c>
      <c r="E1283" s="3" t="s">
        <v>1356</v>
      </c>
      <c r="F1283" s="79">
        <v>-64</v>
      </c>
      <c r="G1283" s="3" t="s">
        <v>1221</v>
      </c>
      <c r="H1283" s="3" t="s">
        <v>2012</v>
      </c>
      <c r="I1283" s="3"/>
      <c r="J1283" s="3" t="s">
        <v>1990</v>
      </c>
      <c r="K1283" s="3" t="s">
        <v>2065</v>
      </c>
      <c r="L1283" s="3"/>
      <c r="M1283" s="3" t="s">
        <v>2066</v>
      </c>
      <c r="N1283" s="3" t="s">
        <v>2353</v>
      </c>
    </row>
    <row r="1284" spans="1:14" x14ac:dyDescent="0.45">
      <c r="A1284" s="3" t="s">
        <v>1186</v>
      </c>
      <c r="B1284" s="3" t="s">
        <v>2354</v>
      </c>
      <c r="C1284" s="3" t="s">
        <v>2021</v>
      </c>
      <c r="D1284" s="3" t="s">
        <v>2022</v>
      </c>
      <c r="E1284" s="3" t="s">
        <v>1238</v>
      </c>
      <c r="F1284" s="79">
        <v>70</v>
      </c>
      <c r="G1284" s="3" t="s">
        <v>1221</v>
      </c>
      <c r="H1284" s="3" t="s">
        <v>1989</v>
      </c>
      <c r="I1284" s="3"/>
      <c r="J1284" s="3" t="s">
        <v>1990</v>
      </c>
      <c r="K1284" s="3" t="s">
        <v>2032</v>
      </c>
      <c r="L1284" s="3"/>
      <c r="M1284" s="3" t="s">
        <v>2033</v>
      </c>
      <c r="N1284" s="3" t="s">
        <v>2355</v>
      </c>
    </row>
    <row r="1285" spans="1:14" x14ac:dyDescent="0.45">
      <c r="A1285" s="3" t="s">
        <v>1186</v>
      </c>
      <c r="B1285" s="3" t="s">
        <v>2354</v>
      </c>
      <c r="C1285" s="3" t="s">
        <v>1287</v>
      </c>
      <c r="D1285" s="3" t="s">
        <v>1244</v>
      </c>
      <c r="E1285" s="3" t="s">
        <v>1288</v>
      </c>
      <c r="F1285" s="79">
        <v>79</v>
      </c>
      <c r="G1285" s="3" t="s">
        <v>1221</v>
      </c>
      <c r="H1285" s="3" t="s">
        <v>1989</v>
      </c>
      <c r="I1285" s="3"/>
      <c r="J1285" s="3" t="s">
        <v>1990</v>
      </c>
      <c r="K1285" s="3" t="s">
        <v>2037</v>
      </c>
      <c r="L1285" s="3"/>
      <c r="M1285" s="3" t="s">
        <v>2038</v>
      </c>
      <c r="N1285" s="3" t="s">
        <v>2356</v>
      </c>
    </row>
    <row r="1286" spans="1:14" x14ac:dyDescent="0.45">
      <c r="A1286" s="3" t="s">
        <v>1186</v>
      </c>
      <c r="B1286" s="3" t="s">
        <v>2354</v>
      </c>
      <c r="C1286" s="3" t="s">
        <v>1293</v>
      </c>
      <c r="D1286" s="3" t="s">
        <v>1294</v>
      </c>
      <c r="E1286" s="3" t="s">
        <v>1295</v>
      </c>
      <c r="F1286" s="79">
        <v>90</v>
      </c>
      <c r="G1286" s="3" t="s">
        <v>1221</v>
      </c>
      <c r="H1286" s="3" t="s">
        <v>1989</v>
      </c>
      <c r="I1286" s="3"/>
      <c r="J1286" s="3" t="s">
        <v>1990</v>
      </c>
      <c r="K1286" s="3" t="s">
        <v>2040</v>
      </c>
      <c r="L1286" s="3"/>
      <c r="M1286" s="3" t="s">
        <v>2041</v>
      </c>
      <c r="N1286" s="3" t="s">
        <v>2357</v>
      </c>
    </row>
    <row r="1287" spans="1:14" x14ac:dyDescent="0.45">
      <c r="A1287" s="3" t="s">
        <v>1186</v>
      </c>
      <c r="B1287" s="3" t="s">
        <v>2354</v>
      </c>
      <c r="C1287" s="3" t="s">
        <v>1300</v>
      </c>
      <c r="D1287" s="3" t="s">
        <v>1301</v>
      </c>
      <c r="E1287" s="3" t="s">
        <v>1302</v>
      </c>
      <c r="F1287" s="79">
        <v>98</v>
      </c>
      <c r="G1287" s="3" t="s">
        <v>1221</v>
      </c>
      <c r="H1287" s="3" t="s">
        <v>1989</v>
      </c>
      <c r="I1287" s="3"/>
      <c r="J1287" s="3" t="s">
        <v>1990</v>
      </c>
      <c r="K1287" s="3" t="s">
        <v>2043</v>
      </c>
      <c r="L1287" s="3"/>
      <c r="M1287" s="3" t="s">
        <v>2044</v>
      </c>
      <c r="N1287" s="3" t="s">
        <v>2358</v>
      </c>
    </row>
    <row r="1288" spans="1:14" x14ac:dyDescent="0.45">
      <c r="A1288" s="3" t="s">
        <v>1186</v>
      </c>
      <c r="B1288" s="3" t="s">
        <v>2354</v>
      </c>
      <c r="C1288" s="3" t="s">
        <v>1243</v>
      </c>
      <c r="D1288" s="3" t="s">
        <v>1244</v>
      </c>
      <c r="E1288" s="3" t="s">
        <v>1245</v>
      </c>
      <c r="F1288" s="79">
        <v>371</v>
      </c>
      <c r="G1288" s="3" t="s">
        <v>1221</v>
      </c>
      <c r="H1288" s="3" t="s">
        <v>2012</v>
      </c>
      <c r="I1288" s="3"/>
      <c r="J1288" s="3" t="s">
        <v>1990</v>
      </c>
      <c r="K1288" s="3" t="s">
        <v>2032</v>
      </c>
      <c r="L1288" s="3"/>
      <c r="M1288" s="3" t="s">
        <v>2033</v>
      </c>
      <c r="N1288" s="3" t="s">
        <v>2355</v>
      </c>
    </row>
    <row r="1289" spans="1:14" x14ac:dyDescent="0.45">
      <c r="A1289" s="3" t="s">
        <v>1186</v>
      </c>
      <c r="B1289" s="3" t="s">
        <v>2354</v>
      </c>
      <c r="C1289" s="3" t="s">
        <v>2035</v>
      </c>
      <c r="D1289" s="3" t="s">
        <v>2036</v>
      </c>
      <c r="E1289" s="3" t="s">
        <v>1245</v>
      </c>
      <c r="F1289" s="79">
        <v>105</v>
      </c>
      <c r="G1289" s="3" t="s">
        <v>1221</v>
      </c>
      <c r="H1289" s="3" t="s">
        <v>2012</v>
      </c>
      <c r="I1289" s="3"/>
      <c r="J1289" s="3" t="s">
        <v>1990</v>
      </c>
      <c r="K1289" s="3" t="s">
        <v>2032</v>
      </c>
      <c r="L1289" s="3"/>
      <c r="M1289" s="3" t="s">
        <v>2033</v>
      </c>
      <c r="N1289" s="3" t="s">
        <v>2355</v>
      </c>
    </row>
    <row r="1290" spans="1:14" x14ac:dyDescent="0.45">
      <c r="A1290" s="3" t="s">
        <v>1186</v>
      </c>
      <c r="B1290" s="3" t="s">
        <v>2354</v>
      </c>
      <c r="C1290" s="3" t="s">
        <v>1309</v>
      </c>
      <c r="D1290" s="3" t="s">
        <v>1251</v>
      </c>
      <c r="E1290" s="3" t="s">
        <v>1310</v>
      </c>
      <c r="F1290" s="79">
        <v>113</v>
      </c>
      <c r="G1290" s="3" t="s">
        <v>1221</v>
      </c>
      <c r="H1290" s="3" t="s">
        <v>2012</v>
      </c>
      <c r="I1290" s="3"/>
      <c r="J1290" s="3" t="s">
        <v>1990</v>
      </c>
      <c r="K1290" s="3" t="s">
        <v>2037</v>
      </c>
      <c r="L1290" s="3"/>
      <c r="M1290" s="3" t="s">
        <v>2038</v>
      </c>
      <c r="N1290" s="3" t="s">
        <v>2356</v>
      </c>
    </row>
    <row r="1291" spans="1:14" x14ac:dyDescent="0.45">
      <c r="A1291" s="3" t="s">
        <v>1186</v>
      </c>
      <c r="B1291" s="3" t="s">
        <v>2354</v>
      </c>
      <c r="C1291" s="3" t="s">
        <v>1315</v>
      </c>
      <c r="D1291" s="3" t="s">
        <v>1316</v>
      </c>
      <c r="E1291" s="3" t="s">
        <v>1317</v>
      </c>
      <c r="F1291" s="79">
        <v>127</v>
      </c>
      <c r="G1291" s="3" t="s">
        <v>1221</v>
      </c>
      <c r="H1291" s="3" t="s">
        <v>2012</v>
      </c>
      <c r="I1291" s="3"/>
      <c r="J1291" s="3" t="s">
        <v>1990</v>
      </c>
      <c r="K1291" s="3" t="s">
        <v>2040</v>
      </c>
      <c r="L1291" s="3"/>
      <c r="M1291" s="3" t="s">
        <v>2041</v>
      </c>
      <c r="N1291" s="3" t="s">
        <v>2357</v>
      </c>
    </row>
    <row r="1292" spans="1:14" x14ac:dyDescent="0.45">
      <c r="A1292" s="3" t="s">
        <v>1186</v>
      </c>
      <c r="B1292" s="3" t="s">
        <v>2354</v>
      </c>
      <c r="C1292" s="3" t="s">
        <v>1322</v>
      </c>
      <c r="D1292" s="3" t="s">
        <v>1323</v>
      </c>
      <c r="E1292" s="3" t="s">
        <v>1324</v>
      </c>
      <c r="F1292" s="79">
        <v>146</v>
      </c>
      <c r="G1292" s="3" t="s">
        <v>1221</v>
      </c>
      <c r="H1292" s="3" t="s">
        <v>2012</v>
      </c>
      <c r="I1292" s="3"/>
      <c r="J1292" s="3" t="s">
        <v>1990</v>
      </c>
      <c r="K1292" s="3" t="s">
        <v>2043</v>
      </c>
      <c r="L1292" s="3"/>
      <c r="M1292" s="3" t="s">
        <v>2044</v>
      </c>
      <c r="N1292" s="3" t="s">
        <v>2358</v>
      </c>
    </row>
    <row r="1293" spans="1:14" x14ac:dyDescent="0.45">
      <c r="A1293" s="3" t="s">
        <v>1186</v>
      </c>
      <c r="B1293" s="3" t="s">
        <v>2354</v>
      </c>
      <c r="C1293" s="3" t="s">
        <v>1250</v>
      </c>
      <c r="D1293" s="3" t="s">
        <v>1251</v>
      </c>
      <c r="E1293" s="3" t="s">
        <v>1252</v>
      </c>
      <c r="F1293" s="79">
        <v>539</v>
      </c>
      <c r="G1293" s="3" t="s">
        <v>1221</v>
      </c>
      <c r="H1293" s="3" t="s">
        <v>2012</v>
      </c>
      <c r="I1293" s="3"/>
      <c r="J1293" s="3" t="s">
        <v>1990</v>
      </c>
      <c r="K1293" s="3" t="s">
        <v>2084</v>
      </c>
      <c r="L1293" s="3"/>
      <c r="M1293" s="3" t="s">
        <v>2085</v>
      </c>
      <c r="N1293" s="3" t="s">
        <v>2359</v>
      </c>
    </row>
    <row r="1294" spans="1:14" x14ac:dyDescent="0.45">
      <c r="A1294" s="3" t="s">
        <v>1186</v>
      </c>
      <c r="B1294" s="3" t="s">
        <v>2354</v>
      </c>
      <c r="C1294" s="3" t="s">
        <v>2046</v>
      </c>
      <c r="D1294" s="3" t="s">
        <v>2047</v>
      </c>
      <c r="E1294" s="3" t="s">
        <v>1252</v>
      </c>
      <c r="F1294" s="79">
        <v>154</v>
      </c>
      <c r="G1294" s="3" t="s">
        <v>1221</v>
      </c>
      <c r="H1294" s="3" t="s">
        <v>2012</v>
      </c>
      <c r="I1294" s="3"/>
      <c r="J1294" s="3" t="s">
        <v>1990</v>
      </c>
      <c r="K1294" s="3" t="s">
        <v>2084</v>
      </c>
      <c r="L1294" s="3"/>
      <c r="M1294" s="3" t="s">
        <v>2085</v>
      </c>
      <c r="N1294" s="3" t="s">
        <v>2359</v>
      </c>
    </row>
    <row r="1295" spans="1:14" x14ac:dyDescent="0.45">
      <c r="A1295" s="3" t="s">
        <v>1186</v>
      </c>
      <c r="B1295" s="3" t="s">
        <v>2354</v>
      </c>
      <c r="C1295" s="3" t="s">
        <v>1331</v>
      </c>
      <c r="D1295" s="3" t="s">
        <v>1255</v>
      </c>
      <c r="E1295" s="3" t="s">
        <v>1332</v>
      </c>
      <c r="F1295" s="79">
        <v>164</v>
      </c>
      <c r="G1295" s="3" t="s">
        <v>1221</v>
      </c>
      <c r="H1295" s="3" t="s">
        <v>2012</v>
      </c>
      <c r="I1295" s="3"/>
      <c r="J1295" s="3" t="s">
        <v>1990</v>
      </c>
      <c r="K1295" s="3" t="s">
        <v>2051</v>
      </c>
      <c r="L1295" s="3"/>
      <c r="M1295" s="3" t="s">
        <v>2052</v>
      </c>
      <c r="N1295" s="3" t="s">
        <v>2360</v>
      </c>
    </row>
    <row r="1296" spans="1:14" x14ac:dyDescent="0.45">
      <c r="A1296" s="3" t="s">
        <v>1186</v>
      </c>
      <c r="B1296" s="3" t="s">
        <v>2354</v>
      </c>
      <c r="C1296" s="3" t="s">
        <v>1337</v>
      </c>
      <c r="D1296" s="3" t="s">
        <v>1338</v>
      </c>
      <c r="E1296" s="3" t="s">
        <v>1339</v>
      </c>
      <c r="F1296" s="79">
        <v>180</v>
      </c>
      <c r="G1296" s="3" t="s">
        <v>1221</v>
      </c>
      <c r="H1296" s="3" t="s">
        <v>2012</v>
      </c>
      <c r="I1296" s="3"/>
      <c r="J1296" s="3" t="s">
        <v>1990</v>
      </c>
      <c r="K1296" s="3" t="s">
        <v>2054</v>
      </c>
      <c r="L1296" s="3"/>
      <c r="M1296" s="3" t="s">
        <v>2055</v>
      </c>
      <c r="N1296" s="3" t="s">
        <v>2361</v>
      </c>
    </row>
    <row r="1297" spans="1:14" x14ac:dyDescent="0.45">
      <c r="A1297" s="3" t="s">
        <v>1186</v>
      </c>
      <c r="B1297" s="3" t="s">
        <v>2354</v>
      </c>
      <c r="C1297" s="3" t="s">
        <v>1344</v>
      </c>
      <c r="D1297" s="3" t="s">
        <v>1345</v>
      </c>
      <c r="E1297" s="3" t="s">
        <v>1346</v>
      </c>
      <c r="F1297" s="79">
        <v>192</v>
      </c>
      <c r="G1297" s="3" t="s">
        <v>1221</v>
      </c>
      <c r="H1297" s="3" t="s">
        <v>2012</v>
      </c>
      <c r="I1297" s="3"/>
      <c r="J1297" s="3" t="s">
        <v>1990</v>
      </c>
      <c r="K1297" s="3" t="s">
        <v>2057</v>
      </c>
      <c r="L1297" s="3"/>
      <c r="M1297" s="3" t="s">
        <v>2058</v>
      </c>
      <c r="N1297" s="3" t="s">
        <v>2362</v>
      </c>
    </row>
    <row r="1298" spans="1:14" x14ac:dyDescent="0.45">
      <c r="A1298" s="3" t="s">
        <v>1186</v>
      </c>
      <c r="B1298" s="3" t="s">
        <v>2354</v>
      </c>
      <c r="C1298" s="3" t="s">
        <v>1254</v>
      </c>
      <c r="D1298" s="3" t="s">
        <v>1255</v>
      </c>
      <c r="E1298" s="3" t="s">
        <v>1256</v>
      </c>
      <c r="F1298" s="79">
        <v>741</v>
      </c>
      <c r="G1298" s="3" t="s">
        <v>1221</v>
      </c>
      <c r="H1298" s="3" t="s">
        <v>2012</v>
      </c>
      <c r="I1298" s="3"/>
      <c r="J1298" s="3" t="s">
        <v>1990</v>
      </c>
      <c r="K1298" s="3" t="s">
        <v>2048</v>
      </c>
      <c r="L1298" s="3"/>
      <c r="M1298" s="3" t="s">
        <v>2049</v>
      </c>
      <c r="N1298" s="3" t="s">
        <v>2363</v>
      </c>
    </row>
    <row r="1299" spans="1:14" x14ac:dyDescent="0.45">
      <c r="A1299" s="3" t="s">
        <v>1186</v>
      </c>
      <c r="B1299" s="3" t="s">
        <v>2354</v>
      </c>
      <c r="C1299" s="3" t="s">
        <v>2060</v>
      </c>
      <c r="D1299" s="3" t="s">
        <v>2061</v>
      </c>
      <c r="E1299" s="3" t="s">
        <v>1256</v>
      </c>
      <c r="F1299" s="79">
        <v>205</v>
      </c>
      <c r="G1299" s="3" t="s">
        <v>1221</v>
      </c>
      <c r="H1299" s="3" t="s">
        <v>2012</v>
      </c>
      <c r="I1299" s="3"/>
      <c r="J1299" s="3" t="s">
        <v>1990</v>
      </c>
      <c r="K1299" s="3" t="s">
        <v>2048</v>
      </c>
      <c r="L1299" s="3"/>
      <c r="M1299" s="3" t="s">
        <v>2049</v>
      </c>
      <c r="N1299" s="3" t="s">
        <v>2363</v>
      </c>
    </row>
    <row r="1300" spans="1:14" x14ac:dyDescent="0.45">
      <c r="A1300" s="3" t="s">
        <v>1186</v>
      </c>
      <c r="B1300" s="3" t="s">
        <v>2354</v>
      </c>
      <c r="C1300" s="3" t="s">
        <v>1350</v>
      </c>
      <c r="D1300" s="3" t="s">
        <v>1351</v>
      </c>
      <c r="E1300" s="3" t="s">
        <v>1352</v>
      </c>
      <c r="F1300" s="79">
        <v>217</v>
      </c>
      <c r="G1300" s="3" t="s">
        <v>1221</v>
      </c>
      <c r="H1300" s="3" t="s">
        <v>2012</v>
      </c>
      <c r="I1300" s="3"/>
      <c r="J1300" s="3" t="s">
        <v>1990</v>
      </c>
      <c r="K1300" s="3" t="s">
        <v>2062</v>
      </c>
      <c r="L1300" s="3"/>
      <c r="M1300" s="3" t="s">
        <v>2063</v>
      </c>
      <c r="N1300" s="3" t="s">
        <v>2364</v>
      </c>
    </row>
    <row r="1301" spans="1:14" x14ac:dyDescent="0.45">
      <c r="A1301" s="3" t="s">
        <v>1186</v>
      </c>
      <c r="B1301" s="3" t="s">
        <v>2354</v>
      </c>
      <c r="C1301" s="3" t="s">
        <v>1354</v>
      </c>
      <c r="D1301" s="3" t="s">
        <v>1355</v>
      </c>
      <c r="E1301" s="3" t="s">
        <v>1356</v>
      </c>
      <c r="F1301" s="79">
        <v>236</v>
      </c>
      <c r="G1301" s="3" t="s">
        <v>1221</v>
      </c>
      <c r="H1301" s="3" t="s">
        <v>2012</v>
      </c>
      <c r="I1301" s="3"/>
      <c r="J1301" s="3" t="s">
        <v>1990</v>
      </c>
      <c r="K1301" s="3" t="s">
        <v>2065</v>
      </c>
      <c r="L1301" s="3"/>
      <c r="M1301" s="3" t="s">
        <v>2066</v>
      </c>
      <c r="N1301" s="3" t="s">
        <v>2365</v>
      </c>
    </row>
    <row r="1302" spans="1:14" x14ac:dyDescent="0.45">
      <c r="A1302" s="3" t="s">
        <v>485</v>
      </c>
      <c r="B1302" s="3" t="s">
        <v>2366</v>
      </c>
      <c r="C1302" s="3" t="s">
        <v>1986</v>
      </c>
      <c r="D1302" s="3" t="s">
        <v>1987</v>
      </c>
      <c r="E1302" s="3" t="s">
        <v>1988</v>
      </c>
      <c r="F1302" s="79">
        <v>16.852</v>
      </c>
      <c r="G1302" s="3" t="s">
        <v>1221</v>
      </c>
      <c r="H1302" s="3" t="s">
        <v>1989</v>
      </c>
      <c r="I1302" s="3"/>
      <c r="J1302" s="3" t="s">
        <v>1990</v>
      </c>
      <c r="K1302" s="3" t="s">
        <v>1991</v>
      </c>
      <c r="L1302" s="3"/>
      <c r="M1302" s="3" t="s">
        <v>1992</v>
      </c>
      <c r="N1302" s="3" t="s">
        <v>2367</v>
      </c>
    </row>
    <row r="1303" spans="1:14" x14ac:dyDescent="0.45">
      <c r="A1303" s="3" t="s">
        <v>485</v>
      </c>
      <c r="B1303" s="3" t="s">
        <v>2366</v>
      </c>
      <c r="C1303" s="3" t="s">
        <v>1994</v>
      </c>
      <c r="D1303" s="3" t="s">
        <v>1995</v>
      </c>
      <c r="E1303" s="3" t="s">
        <v>1220</v>
      </c>
      <c r="F1303" s="79">
        <v>19</v>
      </c>
      <c r="G1303" s="3" t="s">
        <v>1221</v>
      </c>
      <c r="H1303" s="3" t="s">
        <v>1989</v>
      </c>
      <c r="I1303" s="3"/>
      <c r="J1303" s="3" t="s">
        <v>1990</v>
      </c>
      <c r="K1303" s="3" t="s">
        <v>1996</v>
      </c>
      <c r="L1303" s="3"/>
      <c r="M1303" s="3" t="s">
        <v>1997</v>
      </c>
      <c r="N1303" s="3" t="s">
        <v>2368</v>
      </c>
    </row>
    <row r="1304" spans="1:14" x14ac:dyDescent="0.45">
      <c r="A1304" s="3" t="s">
        <v>485</v>
      </c>
      <c r="B1304" s="3" t="s">
        <v>2366</v>
      </c>
      <c r="C1304" s="3" t="s">
        <v>1999</v>
      </c>
      <c r="D1304" s="3" t="s">
        <v>1230</v>
      </c>
      <c r="E1304" s="3" t="s">
        <v>2000</v>
      </c>
      <c r="F1304" s="79">
        <v>20</v>
      </c>
      <c r="G1304" s="3" t="s">
        <v>1221</v>
      </c>
      <c r="H1304" s="3" t="s">
        <v>1989</v>
      </c>
      <c r="I1304" s="3"/>
      <c r="J1304" s="3" t="s">
        <v>1990</v>
      </c>
      <c r="K1304" s="3" t="s">
        <v>2001</v>
      </c>
      <c r="L1304" s="3"/>
      <c r="M1304" s="3" t="s">
        <v>2002</v>
      </c>
      <c r="N1304" s="3" t="s">
        <v>2369</v>
      </c>
    </row>
    <row r="1305" spans="1:14" x14ac:dyDescent="0.45">
      <c r="A1305" s="3" t="s">
        <v>485</v>
      </c>
      <c r="B1305" s="3" t="s">
        <v>2366</v>
      </c>
      <c r="C1305" s="3" t="s">
        <v>2004</v>
      </c>
      <c r="D1305" s="3" t="s">
        <v>2005</v>
      </c>
      <c r="E1305" s="3" t="s">
        <v>2006</v>
      </c>
      <c r="F1305" s="79">
        <v>25</v>
      </c>
      <c r="G1305" s="3" t="s">
        <v>1221</v>
      </c>
      <c r="H1305" s="3" t="s">
        <v>1989</v>
      </c>
      <c r="I1305" s="3"/>
      <c r="J1305" s="3" t="s">
        <v>1990</v>
      </c>
      <c r="K1305" s="3" t="s">
        <v>2007</v>
      </c>
      <c r="L1305" s="3"/>
      <c r="M1305" s="3" t="s">
        <v>2008</v>
      </c>
      <c r="N1305" s="3" t="s">
        <v>2370</v>
      </c>
    </row>
    <row r="1306" spans="1:14" x14ac:dyDescent="0.45">
      <c r="A1306" s="3" t="s">
        <v>485</v>
      </c>
      <c r="B1306" s="3" t="s">
        <v>2366</v>
      </c>
      <c r="C1306" s="3" t="s">
        <v>2010</v>
      </c>
      <c r="D1306" s="3" t="s">
        <v>2011</v>
      </c>
      <c r="E1306" s="3" t="s">
        <v>1259</v>
      </c>
      <c r="F1306" s="79">
        <v>31.073</v>
      </c>
      <c r="G1306" s="3" t="s">
        <v>1221</v>
      </c>
      <c r="H1306" s="3" t="s">
        <v>2012</v>
      </c>
      <c r="I1306" s="3"/>
      <c r="J1306" s="3" t="s">
        <v>1990</v>
      </c>
      <c r="K1306" s="3" t="s">
        <v>1991</v>
      </c>
      <c r="L1306" s="3"/>
      <c r="M1306" s="3" t="s">
        <v>1992</v>
      </c>
      <c r="N1306" s="3" t="s">
        <v>2367</v>
      </c>
    </row>
    <row r="1307" spans="1:14" x14ac:dyDescent="0.45">
      <c r="A1307" s="3" t="s">
        <v>485</v>
      </c>
      <c r="B1307" s="3" t="s">
        <v>2366</v>
      </c>
      <c r="C1307" s="3" t="s">
        <v>1229</v>
      </c>
      <c r="D1307" s="3" t="s">
        <v>1230</v>
      </c>
      <c r="E1307" s="3" t="s">
        <v>1231</v>
      </c>
      <c r="F1307" s="79">
        <v>112</v>
      </c>
      <c r="G1307" s="3" t="s">
        <v>1221</v>
      </c>
      <c r="H1307" s="3" t="s">
        <v>2012</v>
      </c>
      <c r="I1307" s="3"/>
      <c r="J1307" s="3" t="s">
        <v>1990</v>
      </c>
      <c r="K1307" s="3" t="s">
        <v>1996</v>
      </c>
      <c r="L1307" s="3"/>
      <c r="M1307" s="3" t="s">
        <v>1997</v>
      </c>
      <c r="N1307" s="3" t="s">
        <v>2368</v>
      </c>
    </row>
    <row r="1308" spans="1:14" x14ac:dyDescent="0.45">
      <c r="A1308" s="3" t="s">
        <v>485</v>
      </c>
      <c r="B1308" s="3" t="s">
        <v>2366</v>
      </c>
      <c r="C1308" s="3" t="s">
        <v>2013</v>
      </c>
      <c r="D1308" s="3" t="s">
        <v>2014</v>
      </c>
      <c r="E1308" s="3" t="s">
        <v>1231</v>
      </c>
      <c r="F1308" s="79">
        <v>37</v>
      </c>
      <c r="G1308" s="3" t="s">
        <v>1221</v>
      </c>
      <c r="H1308" s="3" t="s">
        <v>2012</v>
      </c>
      <c r="I1308" s="3"/>
      <c r="J1308" s="3" t="s">
        <v>1990</v>
      </c>
      <c r="K1308" s="3" t="s">
        <v>1996</v>
      </c>
      <c r="L1308" s="3"/>
      <c r="M1308" s="3" t="s">
        <v>1997</v>
      </c>
      <c r="N1308" s="3" t="s">
        <v>2368</v>
      </c>
    </row>
    <row r="1309" spans="1:14" x14ac:dyDescent="0.45">
      <c r="A1309" s="3" t="s">
        <v>485</v>
      </c>
      <c r="B1309" s="3" t="s">
        <v>2366</v>
      </c>
      <c r="C1309" s="3" t="s">
        <v>1265</v>
      </c>
      <c r="D1309" s="3" t="s">
        <v>1237</v>
      </c>
      <c r="E1309" s="3" t="s">
        <v>1266</v>
      </c>
      <c r="F1309" s="79">
        <v>46</v>
      </c>
      <c r="G1309" s="3" t="s">
        <v>1221</v>
      </c>
      <c r="H1309" s="3" t="s">
        <v>2012</v>
      </c>
      <c r="I1309" s="3"/>
      <c r="J1309" s="3" t="s">
        <v>1990</v>
      </c>
      <c r="K1309" s="3" t="s">
        <v>2001</v>
      </c>
      <c r="L1309" s="3"/>
      <c r="M1309" s="3" t="s">
        <v>2002</v>
      </c>
      <c r="N1309" s="3" t="s">
        <v>2369</v>
      </c>
    </row>
    <row r="1310" spans="1:14" x14ac:dyDescent="0.45">
      <c r="A1310" s="3" t="s">
        <v>485</v>
      </c>
      <c r="B1310" s="3" t="s">
        <v>2366</v>
      </c>
      <c r="C1310" s="3" t="s">
        <v>1271</v>
      </c>
      <c r="D1310" s="3" t="s">
        <v>1272</v>
      </c>
      <c r="E1310" s="3" t="s">
        <v>1273</v>
      </c>
      <c r="F1310" s="79">
        <v>48</v>
      </c>
      <c r="G1310" s="3" t="s">
        <v>1221</v>
      </c>
      <c r="H1310" s="3" t="s">
        <v>2012</v>
      </c>
      <c r="I1310" s="3"/>
      <c r="J1310" s="3" t="s">
        <v>1990</v>
      </c>
      <c r="K1310" s="3" t="s">
        <v>2007</v>
      </c>
      <c r="L1310" s="3"/>
      <c r="M1310" s="3" t="s">
        <v>2008</v>
      </c>
      <c r="N1310" s="3" t="s">
        <v>2370</v>
      </c>
    </row>
    <row r="1311" spans="1:14" x14ac:dyDescent="0.45">
      <c r="A1311" s="3" t="s">
        <v>485</v>
      </c>
      <c r="B1311" s="3" t="s">
        <v>2366</v>
      </c>
      <c r="C1311" s="3" t="s">
        <v>1278</v>
      </c>
      <c r="D1311" s="3" t="s">
        <v>1279</v>
      </c>
      <c r="E1311" s="3" t="s">
        <v>1280</v>
      </c>
      <c r="F1311" s="79">
        <v>55</v>
      </c>
      <c r="G1311" s="3" t="s">
        <v>1221</v>
      </c>
      <c r="H1311" s="3" t="s">
        <v>2012</v>
      </c>
      <c r="I1311" s="3"/>
      <c r="J1311" s="3" t="s">
        <v>1990</v>
      </c>
      <c r="K1311" s="3" t="s">
        <v>2015</v>
      </c>
      <c r="L1311" s="3"/>
      <c r="M1311" s="3" t="s">
        <v>2016</v>
      </c>
      <c r="N1311" s="3" t="s">
        <v>2371</v>
      </c>
    </row>
    <row r="1312" spans="1:14" x14ac:dyDescent="0.45">
      <c r="A1312" s="3" t="s">
        <v>485</v>
      </c>
      <c r="B1312" s="3" t="s">
        <v>2366</v>
      </c>
      <c r="C1312" s="3" t="s">
        <v>1236</v>
      </c>
      <c r="D1312" s="3" t="s">
        <v>1237</v>
      </c>
      <c r="E1312" s="3" t="s">
        <v>1238</v>
      </c>
      <c r="F1312" s="79">
        <v>207</v>
      </c>
      <c r="G1312" s="3" t="s">
        <v>1221</v>
      </c>
      <c r="H1312" s="3" t="s">
        <v>2012</v>
      </c>
      <c r="I1312" s="3"/>
      <c r="J1312" s="3" t="s">
        <v>1990</v>
      </c>
      <c r="K1312" s="3" t="s">
        <v>2018</v>
      </c>
      <c r="L1312" s="3"/>
      <c r="M1312" s="3" t="s">
        <v>2019</v>
      </c>
      <c r="N1312" s="3" t="s">
        <v>2372</v>
      </c>
    </row>
    <row r="1313" spans="1:14" x14ac:dyDescent="0.45">
      <c r="A1313" s="3" t="s">
        <v>485</v>
      </c>
      <c r="B1313" s="3" t="s">
        <v>2366</v>
      </c>
      <c r="C1313" s="3" t="s">
        <v>2021</v>
      </c>
      <c r="D1313" s="3" t="s">
        <v>2022</v>
      </c>
      <c r="E1313" s="3" t="s">
        <v>1238</v>
      </c>
      <c r="F1313" s="79">
        <v>58</v>
      </c>
      <c r="G1313" s="3" t="s">
        <v>1221</v>
      </c>
      <c r="H1313" s="3" t="s">
        <v>2012</v>
      </c>
      <c r="I1313" s="3"/>
      <c r="J1313" s="3" t="s">
        <v>1990</v>
      </c>
      <c r="K1313" s="3" t="s">
        <v>2018</v>
      </c>
      <c r="L1313" s="3"/>
      <c r="M1313" s="3" t="s">
        <v>2019</v>
      </c>
      <c r="N1313" s="3" t="s">
        <v>2372</v>
      </c>
    </row>
    <row r="1314" spans="1:14" x14ac:dyDescent="0.45">
      <c r="A1314" s="3" t="s">
        <v>485</v>
      </c>
      <c r="B1314" s="3" t="s">
        <v>2366</v>
      </c>
      <c r="C1314" s="3" t="s">
        <v>1287</v>
      </c>
      <c r="D1314" s="3" t="s">
        <v>1244</v>
      </c>
      <c r="E1314" s="3" t="s">
        <v>1288</v>
      </c>
      <c r="F1314" s="79">
        <v>62</v>
      </c>
      <c r="G1314" s="3" t="s">
        <v>1221</v>
      </c>
      <c r="H1314" s="3" t="s">
        <v>2012</v>
      </c>
      <c r="I1314" s="3"/>
      <c r="J1314" s="3" t="s">
        <v>1990</v>
      </c>
      <c r="K1314" s="3" t="s">
        <v>2023</v>
      </c>
      <c r="L1314" s="3"/>
      <c r="M1314" s="3" t="s">
        <v>2024</v>
      </c>
      <c r="N1314" s="3" t="s">
        <v>2373</v>
      </c>
    </row>
    <row r="1315" spans="1:14" x14ac:dyDescent="0.45">
      <c r="A1315" s="3" t="s">
        <v>485</v>
      </c>
      <c r="B1315" s="3" t="s">
        <v>2366</v>
      </c>
      <c r="C1315" s="3" t="s">
        <v>1293</v>
      </c>
      <c r="D1315" s="3" t="s">
        <v>1294</v>
      </c>
      <c r="E1315" s="3" t="s">
        <v>1295</v>
      </c>
      <c r="F1315" s="79">
        <v>66</v>
      </c>
      <c r="G1315" s="3" t="s">
        <v>1221</v>
      </c>
      <c r="H1315" s="3" t="s">
        <v>2012</v>
      </c>
      <c r="I1315" s="3"/>
      <c r="J1315" s="3" t="s">
        <v>1990</v>
      </c>
      <c r="K1315" s="3" t="s">
        <v>2026</v>
      </c>
      <c r="L1315" s="3"/>
      <c r="M1315" s="3" t="s">
        <v>2027</v>
      </c>
      <c r="N1315" s="3" t="s">
        <v>2374</v>
      </c>
    </row>
    <row r="1316" spans="1:14" x14ac:dyDescent="0.45">
      <c r="A1316" s="3" t="s">
        <v>485</v>
      </c>
      <c r="B1316" s="3" t="s">
        <v>2366</v>
      </c>
      <c r="C1316" s="3" t="s">
        <v>1300</v>
      </c>
      <c r="D1316" s="3" t="s">
        <v>1301</v>
      </c>
      <c r="E1316" s="3" t="s">
        <v>1302</v>
      </c>
      <c r="F1316" s="79">
        <v>62</v>
      </c>
      <c r="G1316" s="3" t="s">
        <v>1221</v>
      </c>
      <c r="H1316" s="3" t="s">
        <v>2012</v>
      </c>
      <c r="I1316" s="3"/>
      <c r="J1316" s="3" t="s">
        <v>1990</v>
      </c>
      <c r="K1316" s="3" t="s">
        <v>2029</v>
      </c>
      <c r="L1316" s="3"/>
      <c r="M1316" s="3" t="s">
        <v>2030</v>
      </c>
      <c r="N1316" s="3" t="s">
        <v>2375</v>
      </c>
    </row>
    <row r="1317" spans="1:14" x14ac:dyDescent="0.45">
      <c r="A1317" s="3" t="s">
        <v>485</v>
      </c>
      <c r="B1317" s="3" t="s">
        <v>2366</v>
      </c>
      <c r="C1317" s="3" t="s">
        <v>1243</v>
      </c>
      <c r="D1317" s="3" t="s">
        <v>1244</v>
      </c>
      <c r="E1317" s="3" t="s">
        <v>1245</v>
      </c>
      <c r="F1317" s="79">
        <v>257</v>
      </c>
      <c r="G1317" s="3" t="s">
        <v>1221</v>
      </c>
      <c r="H1317" s="3" t="s">
        <v>2012</v>
      </c>
      <c r="I1317" s="3"/>
      <c r="J1317" s="3" t="s">
        <v>1990</v>
      </c>
      <c r="K1317" s="3" t="s">
        <v>2032</v>
      </c>
      <c r="L1317" s="3"/>
      <c r="M1317" s="3" t="s">
        <v>2033</v>
      </c>
      <c r="N1317" s="3" t="s">
        <v>2376</v>
      </c>
    </row>
    <row r="1318" spans="1:14" x14ac:dyDescent="0.45">
      <c r="A1318" s="3" t="s">
        <v>485</v>
      </c>
      <c r="B1318" s="3" t="s">
        <v>2366</v>
      </c>
      <c r="C1318" s="3" t="s">
        <v>2035</v>
      </c>
      <c r="D1318" s="3" t="s">
        <v>2036</v>
      </c>
      <c r="E1318" s="3" t="s">
        <v>1245</v>
      </c>
      <c r="F1318" s="79">
        <v>68</v>
      </c>
      <c r="G1318" s="3" t="s">
        <v>1221</v>
      </c>
      <c r="H1318" s="3" t="s">
        <v>2012</v>
      </c>
      <c r="I1318" s="3"/>
      <c r="J1318" s="3" t="s">
        <v>1990</v>
      </c>
      <c r="K1318" s="3" t="s">
        <v>2032</v>
      </c>
      <c r="L1318" s="3"/>
      <c r="M1318" s="3" t="s">
        <v>2033</v>
      </c>
      <c r="N1318" s="3" t="s">
        <v>2376</v>
      </c>
    </row>
    <row r="1319" spans="1:14" x14ac:dyDescent="0.45">
      <c r="A1319" s="3" t="s">
        <v>485</v>
      </c>
      <c r="B1319" s="3" t="s">
        <v>2366</v>
      </c>
      <c r="C1319" s="3" t="s">
        <v>1309</v>
      </c>
      <c r="D1319" s="3" t="s">
        <v>1251</v>
      </c>
      <c r="E1319" s="3" t="s">
        <v>1310</v>
      </c>
      <c r="F1319" s="79">
        <v>62</v>
      </c>
      <c r="G1319" s="3" t="s">
        <v>1221</v>
      </c>
      <c r="H1319" s="3" t="s">
        <v>2012</v>
      </c>
      <c r="I1319" s="3"/>
      <c r="J1319" s="3" t="s">
        <v>1990</v>
      </c>
      <c r="K1319" s="3" t="s">
        <v>2037</v>
      </c>
      <c r="L1319" s="3"/>
      <c r="M1319" s="3" t="s">
        <v>2038</v>
      </c>
      <c r="N1319" s="3" t="s">
        <v>2377</v>
      </c>
    </row>
    <row r="1320" spans="1:14" x14ac:dyDescent="0.45">
      <c r="A1320" s="3" t="s">
        <v>485</v>
      </c>
      <c r="B1320" s="3" t="s">
        <v>2366</v>
      </c>
      <c r="C1320" s="3" t="s">
        <v>1315</v>
      </c>
      <c r="D1320" s="3" t="s">
        <v>1316</v>
      </c>
      <c r="E1320" s="3" t="s">
        <v>1317</v>
      </c>
      <c r="F1320" s="79">
        <v>63</v>
      </c>
      <c r="G1320" s="3" t="s">
        <v>1221</v>
      </c>
      <c r="H1320" s="3" t="s">
        <v>2012</v>
      </c>
      <c r="I1320" s="3"/>
      <c r="J1320" s="3" t="s">
        <v>1990</v>
      </c>
      <c r="K1320" s="3" t="s">
        <v>2040</v>
      </c>
      <c r="L1320" s="3"/>
      <c r="M1320" s="3" t="s">
        <v>2041</v>
      </c>
      <c r="N1320" s="3" t="s">
        <v>2378</v>
      </c>
    </row>
    <row r="1321" spans="1:14" x14ac:dyDescent="0.45">
      <c r="A1321" s="3" t="s">
        <v>485</v>
      </c>
      <c r="B1321" s="3" t="s">
        <v>2366</v>
      </c>
      <c r="C1321" s="3" t="s">
        <v>1322</v>
      </c>
      <c r="D1321" s="3" t="s">
        <v>1323</v>
      </c>
      <c r="E1321" s="3" t="s">
        <v>1324</v>
      </c>
      <c r="F1321" s="79">
        <v>66</v>
      </c>
      <c r="G1321" s="3" t="s">
        <v>1221</v>
      </c>
      <c r="H1321" s="3" t="s">
        <v>2012</v>
      </c>
      <c r="I1321" s="3"/>
      <c r="J1321" s="3" t="s">
        <v>1990</v>
      </c>
      <c r="K1321" s="3" t="s">
        <v>2043</v>
      </c>
      <c r="L1321" s="3"/>
      <c r="M1321" s="3" t="s">
        <v>2044</v>
      </c>
      <c r="N1321" s="3" t="s">
        <v>2379</v>
      </c>
    </row>
    <row r="1322" spans="1:14" x14ac:dyDescent="0.45">
      <c r="A1322" s="3" t="s">
        <v>485</v>
      </c>
      <c r="B1322" s="3" t="s">
        <v>2366</v>
      </c>
      <c r="C1322" s="3" t="s">
        <v>1250</v>
      </c>
      <c r="D1322" s="3" t="s">
        <v>1251</v>
      </c>
      <c r="E1322" s="3" t="s">
        <v>1252</v>
      </c>
      <c r="F1322" s="79">
        <v>259</v>
      </c>
      <c r="G1322" s="3" t="s">
        <v>1221</v>
      </c>
      <c r="H1322" s="3" t="s">
        <v>2012</v>
      </c>
      <c r="I1322" s="3"/>
      <c r="J1322" s="3" t="s">
        <v>1990</v>
      </c>
      <c r="K1322" s="3" t="s">
        <v>2084</v>
      </c>
      <c r="L1322" s="3"/>
      <c r="M1322" s="3" t="s">
        <v>2085</v>
      </c>
      <c r="N1322" s="3" t="s">
        <v>2380</v>
      </c>
    </row>
    <row r="1323" spans="1:14" x14ac:dyDescent="0.45">
      <c r="A1323" s="3" t="s">
        <v>485</v>
      </c>
      <c r="B1323" s="3" t="s">
        <v>2366</v>
      </c>
      <c r="C1323" s="3" t="s">
        <v>2046</v>
      </c>
      <c r="D1323" s="3" t="s">
        <v>2047</v>
      </c>
      <c r="E1323" s="3" t="s">
        <v>1252</v>
      </c>
      <c r="F1323" s="79">
        <v>69</v>
      </c>
      <c r="G1323" s="3" t="s">
        <v>1221</v>
      </c>
      <c r="H1323" s="3" t="s">
        <v>2012</v>
      </c>
      <c r="I1323" s="3"/>
      <c r="J1323" s="3" t="s">
        <v>1990</v>
      </c>
      <c r="K1323" s="3" t="s">
        <v>2084</v>
      </c>
      <c r="L1323" s="3"/>
      <c r="M1323" s="3" t="s">
        <v>2085</v>
      </c>
      <c r="N1323" s="3" t="s">
        <v>2380</v>
      </c>
    </row>
    <row r="1324" spans="1:14" x14ac:dyDescent="0.45">
      <c r="A1324" s="3" t="s">
        <v>485</v>
      </c>
      <c r="B1324" s="3" t="s">
        <v>2366</v>
      </c>
      <c r="C1324" s="3" t="s">
        <v>1331</v>
      </c>
      <c r="D1324" s="3" t="s">
        <v>1255</v>
      </c>
      <c r="E1324" s="3" t="s">
        <v>1332</v>
      </c>
      <c r="F1324" s="79">
        <v>61</v>
      </c>
      <c r="G1324" s="3" t="s">
        <v>1221</v>
      </c>
      <c r="H1324" s="3" t="s">
        <v>2012</v>
      </c>
      <c r="I1324" s="3"/>
      <c r="J1324" s="3" t="s">
        <v>1990</v>
      </c>
      <c r="K1324" s="3" t="s">
        <v>2051</v>
      </c>
      <c r="L1324" s="3"/>
      <c r="M1324" s="3" t="s">
        <v>2052</v>
      </c>
      <c r="N1324" s="3" t="s">
        <v>2381</v>
      </c>
    </row>
    <row r="1325" spans="1:14" x14ac:dyDescent="0.45">
      <c r="A1325" s="3" t="s">
        <v>485</v>
      </c>
      <c r="B1325" s="3" t="s">
        <v>2366</v>
      </c>
      <c r="C1325" s="3" t="s">
        <v>1337</v>
      </c>
      <c r="D1325" s="3" t="s">
        <v>1338</v>
      </c>
      <c r="E1325" s="3" t="s">
        <v>1339</v>
      </c>
      <c r="F1325" s="79">
        <v>69</v>
      </c>
      <c r="G1325" s="3" t="s">
        <v>1221</v>
      </c>
      <c r="H1325" s="3" t="s">
        <v>2012</v>
      </c>
      <c r="I1325" s="3"/>
      <c r="J1325" s="3" t="s">
        <v>1990</v>
      </c>
      <c r="K1325" s="3" t="s">
        <v>2054</v>
      </c>
      <c r="L1325" s="3"/>
      <c r="M1325" s="3" t="s">
        <v>2055</v>
      </c>
      <c r="N1325" s="3" t="s">
        <v>2382</v>
      </c>
    </row>
    <row r="1326" spans="1:14" x14ac:dyDescent="0.45">
      <c r="A1326" s="3" t="s">
        <v>485</v>
      </c>
      <c r="B1326" s="3" t="s">
        <v>2366</v>
      </c>
      <c r="C1326" s="3" t="s">
        <v>1344</v>
      </c>
      <c r="D1326" s="3" t="s">
        <v>1345</v>
      </c>
      <c r="E1326" s="3" t="s">
        <v>1346</v>
      </c>
      <c r="F1326" s="79">
        <v>73</v>
      </c>
      <c r="G1326" s="3" t="s">
        <v>1221</v>
      </c>
      <c r="H1326" s="3" t="s">
        <v>2012</v>
      </c>
      <c r="I1326" s="3"/>
      <c r="J1326" s="3" t="s">
        <v>1990</v>
      </c>
      <c r="K1326" s="3" t="s">
        <v>2057</v>
      </c>
      <c r="L1326" s="3"/>
      <c r="M1326" s="3" t="s">
        <v>2058</v>
      </c>
      <c r="N1326" s="3" t="s">
        <v>2383</v>
      </c>
    </row>
    <row r="1327" spans="1:14" x14ac:dyDescent="0.45">
      <c r="A1327" s="3" t="s">
        <v>485</v>
      </c>
      <c r="B1327" s="3" t="s">
        <v>2366</v>
      </c>
      <c r="C1327" s="3" t="s">
        <v>1254</v>
      </c>
      <c r="D1327" s="3" t="s">
        <v>1255</v>
      </c>
      <c r="E1327" s="3" t="s">
        <v>1256</v>
      </c>
      <c r="F1327" s="79">
        <v>277</v>
      </c>
      <c r="G1327" s="3" t="s">
        <v>1221</v>
      </c>
      <c r="H1327" s="3" t="s">
        <v>2012</v>
      </c>
      <c r="I1327" s="3"/>
      <c r="J1327" s="3" t="s">
        <v>1990</v>
      </c>
      <c r="K1327" s="3" t="s">
        <v>2048</v>
      </c>
      <c r="L1327" s="3"/>
      <c r="M1327" s="3" t="s">
        <v>2049</v>
      </c>
      <c r="N1327" s="3" t="s">
        <v>2384</v>
      </c>
    </row>
    <row r="1328" spans="1:14" x14ac:dyDescent="0.45">
      <c r="A1328" s="3" t="s">
        <v>485</v>
      </c>
      <c r="B1328" s="3" t="s">
        <v>2366</v>
      </c>
      <c r="C1328" s="3" t="s">
        <v>2060</v>
      </c>
      <c r="D1328" s="3" t="s">
        <v>2061</v>
      </c>
      <c r="E1328" s="3" t="s">
        <v>1256</v>
      </c>
      <c r="F1328" s="79">
        <v>74</v>
      </c>
      <c r="G1328" s="3" t="s">
        <v>1221</v>
      </c>
      <c r="H1328" s="3" t="s">
        <v>2012</v>
      </c>
      <c r="I1328" s="3"/>
      <c r="J1328" s="3" t="s">
        <v>1990</v>
      </c>
      <c r="K1328" s="3" t="s">
        <v>2048</v>
      </c>
      <c r="L1328" s="3"/>
      <c r="M1328" s="3" t="s">
        <v>2049</v>
      </c>
      <c r="N1328" s="3" t="s">
        <v>2384</v>
      </c>
    </row>
    <row r="1329" spans="1:14" x14ac:dyDescent="0.45">
      <c r="A1329" s="3" t="s">
        <v>485</v>
      </c>
      <c r="B1329" s="3" t="s">
        <v>2366</v>
      </c>
      <c r="C1329" s="3" t="s">
        <v>1350</v>
      </c>
      <c r="D1329" s="3" t="s">
        <v>1351</v>
      </c>
      <c r="E1329" s="3" t="s">
        <v>1352</v>
      </c>
      <c r="F1329" s="79">
        <v>73</v>
      </c>
      <c r="G1329" s="3" t="s">
        <v>1221</v>
      </c>
      <c r="H1329" s="3" t="s">
        <v>2012</v>
      </c>
      <c r="I1329" s="3"/>
      <c r="J1329" s="3" t="s">
        <v>1990</v>
      </c>
      <c r="K1329" s="3" t="s">
        <v>2062</v>
      </c>
      <c r="L1329" s="3"/>
      <c r="M1329" s="3" t="s">
        <v>2063</v>
      </c>
      <c r="N1329" s="3" t="s">
        <v>2385</v>
      </c>
    </row>
    <row r="1330" spans="1:14" x14ac:dyDescent="0.45">
      <c r="A1330" s="3" t="s">
        <v>485</v>
      </c>
      <c r="B1330" s="3" t="s">
        <v>2366</v>
      </c>
      <c r="C1330" s="3" t="s">
        <v>1354</v>
      </c>
      <c r="D1330" s="3" t="s">
        <v>1355</v>
      </c>
      <c r="E1330" s="3" t="s">
        <v>1356</v>
      </c>
      <c r="F1330" s="79">
        <v>85</v>
      </c>
      <c r="G1330" s="3" t="s">
        <v>1221</v>
      </c>
      <c r="H1330" s="3" t="s">
        <v>2012</v>
      </c>
      <c r="I1330" s="3"/>
      <c r="J1330" s="3" t="s">
        <v>1990</v>
      </c>
      <c r="K1330" s="3" t="s">
        <v>2065</v>
      </c>
      <c r="L1330" s="3"/>
      <c r="M1330" s="3" t="s">
        <v>2066</v>
      </c>
      <c r="N1330" s="3" t="s">
        <v>2386</v>
      </c>
    </row>
    <row r="1331" spans="1:14" x14ac:dyDescent="0.45">
      <c r="A1331" s="3" t="s">
        <v>479</v>
      </c>
      <c r="B1331" s="3" t="s">
        <v>2387</v>
      </c>
      <c r="C1331" s="3" t="s">
        <v>1986</v>
      </c>
      <c r="D1331" s="3" t="s">
        <v>1987</v>
      </c>
      <c r="E1331" s="3" t="s">
        <v>1988</v>
      </c>
      <c r="F1331" s="79">
        <v>24.771000000000001</v>
      </c>
      <c r="G1331" s="3" t="s">
        <v>1221</v>
      </c>
      <c r="H1331" s="3" t="s">
        <v>1989</v>
      </c>
      <c r="I1331" s="3"/>
      <c r="J1331" s="3" t="s">
        <v>1990</v>
      </c>
      <c r="K1331" s="3" t="s">
        <v>1991</v>
      </c>
      <c r="L1331" s="3"/>
      <c r="M1331" s="3" t="s">
        <v>1992</v>
      </c>
      <c r="N1331" s="3" t="s">
        <v>2388</v>
      </c>
    </row>
    <row r="1332" spans="1:14" x14ac:dyDescent="0.45">
      <c r="A1332" s="3" t="s">
        <v>479</v>
      </c>
      <c r="B1332" s="3" t="s">
        <v>2387</v>
      </c>
      <c r="C1332" s="3" t="s">
        <v>1994</v>
      </c>
      <c r="D1332" s="3" t="s">
        <v>1995</v>
      </c>
      <c r="E1332" s="3" t="s">
        <v>1220</v>
      </c>
      <c r="F1332" s="79">
        <v>28</v>
      </c>
      <c r="G1332" s="3" t="s">
        <v>1221</v>
      </c>
      <c r="H1332" s="3" t="s">
        <v>1989</v>
      </c>
      <c r="I1332" s="3"/>
      <c r="J1332" s="3" t="s">
        <v>1990</v>
      </c>
      <c r="K1332" s="3" t="s">
        <v>1996</v>
      </c>
      <c r="L1332" s="3"/>
      <c r="M1332" s="3" t="s">
        <v>1997</v>
      </c>
      <c r="N1332" s="3" t="s">
        <v>2389</v>
      </c>
    </row>
    <row r="1333" spans="1:14" x14ac:dyDescent="0.45">
      <c r="A1333" s="3" t="s">
        <v>479</v>
      </c>
      <c r="B1333" s="3" t="s">
        <v>2387</v>
      </c>
      <c r="C1333" s="3" t="s">
        <v>1999</v>
      </c>
      <c r="D1333" s="3" t="s">
        <v>1230</v>
      </c>
      <c r="E1333" s="3" t="s">
        <v>2000</v>
      </c>
      <c r="F1333" s="79">
        <v>31</v>
      </c>
      <c r="G1333" s="3" t="s">
        <v>1221</v>
      </c>
      <c r="H1333" s="3" t="s">
        <v>1989</v>
      </c>
      <c r="I1333" s="3"/>
      <c r="J1333" s="3" t="s">
        <v>1990</v>
      </c>
      <c r="K1333" s="3" t="s">
        <v>2001</v>
      </c>
      <c r="L1333" s="3"/>
      <c r="M1333" s="3" t="s">
        <v>2002</v>
      </c>
      <c r="N1333" s="3" t="s">
        <v>2390</v>
      </c>
    </row>
    <row r="1334" spans="1:14" x14ac:dyDescent="0.45">
      <c r="A1334" s="3" t="s">
        <v>479</v>
      </c>
      <c r="B1334" s="3" t="s">
        <v>2387</v>
      </c>
      <c r="C1334" s="3" t="s">
        <v>2004</v>
      </c>
      <c r="D1334" s="3" t="s">
        <v>2005</v>
      </c>
      <c r="E1334" s="3" t="s">
        <v>2006</v>
      </c>
      <c r="F1334" s="79">
        <v>40</v>
      </c>
      <c r="G1334" s="3" t="s">
        <v>1221</v>
      </c>
      <c r="H1334" s="3" t="s">
        <v>1989</v>
      </c>
      <c r="I1334" s="3"/>
      <c r="J1334" s="3" t="s">
        <v>1990</v>
      </c>
      <c r="K1334" s="3" t="s">
        <v>2007</v>
      </c>
      <c r="L1334" s="3"/>
      <c r="M1334" s="3" t="s">
        <v>2008</v>
      </c>
      <c r="N1334" s="3" t="s">
        <v>2391</v>
      </c>
    </row>
    <row r="1335" spans="1:14" x14ac:dyDescent="0.45">
      <c r="A1335" s="3" t="s">
        <v>479</v>
      </c>
      <c r="B1335" s="3" t="s">
        <v>2387</v>
      </c>
      <c r="C1335" s="3" t="s">
        <v>2010</v>
      </c>
      <c r="D1335" s="3" t="s">
        <v>2011</v>
      </c>
      <c r="E1335" s="3" t="s">
        <v>1259</v>
      </c>
      <c r="F1335" s="79">
        <v>46.284999999999997</v>
      </c>
      <c r="G1335" s="3" t="s">
        <v>1221</v>
      </c>
      <c r="H1335" s="3" t="s">
        <v>2012</v>
      </c>
      <c r="I1335" s="3"/>
      <c r="J1335" s="3" t="s">
        <v>1990</v>
      </c>
      <c r="K1335" s="3" t="s">
        <v>1991</v>
      </c>
      <c r="L1335" s="3"/>
      <c r="M1335" s="3" t="s">
        <v>1992</v>
      </c>
      <c r="N1335" s="3" t="s">
        <v>2388</v>
      </c>
    </row>
    <row r="1336" spans="1:14" x14ac:dyDescent="0.45">
      <c r="A1336" s="3" t="s">
        <v>479</v>
      </c>
      <c r="B1336" s="3" t="s">
        <v>2387</v>
      </c>
      <c r="C1336" s="3" t="s">
        <v>1229</v>
      </c>
      <c r="D1336" s="3" t="s">
        <v>1230</v>
      </c>
      <c r="E1336" s="3" t="s">
        <v>1231</v>
      </c>
      <c r="F1336" s="79">
        <v>165</v>
      </c>
      <c r="G1336" s="3" t="s">
        <v>1221</v>
      </c>
      <c r="H1336" s="3" t="s">
        <v>2012</v>
      </c>
      <c r="I1336" s="3"/>
      <c r="J1336" s="3" t="s">
        <v>1990</v>
      </c>
      <c r="K1336" s="3" t="s">
        <v>1996</v>
      </c>
      <c r="L1336" s="3"/>
      <c r="M1336" s="3" t="s">
        <v>1997</v>
      </c>
      <c r="N1336" s="3" t="s">
        <v>2389</v>
      </c>
    </row>
    <row r="1337" spans="1:14" x14ac:dyDescent="0.45">
      <c r="A1337" s="3" t="s">
        <v>479</v>
      </c>
      <c r="B1337" s="3" t="s">
        <v>2387</v>
      </c>
      <c r="C1337" s="3" t="s">
        <v>2013</v>
      </c>
      <c r="D1337" s="3" t="s">
        <v>2014</v>
      </c>
      <c r="E1337" s="3" t="s">
        <v>1231</v>
      </c>
      <c r="F1337" s="79">
        <v>48</v>
      </c>
      <c r="G1337" s="3" t="s">
        <v>1221</v>
      </c>
      <c r="H1337" s="3" t="s">
        <v>2012</v>
      </c>
      <c r="I1337" s="3"/>
      <c r="J1337" s="3" t="s">
        <v>1990</v>
      </c>
      <c r="K1337" s="3" t="s">
        <v>1996</v>
      </c>
      <c r="L1337" s="3"/>
      <c r="M1337" s="3" t="s">
        <v>1997</v>
      </c>
      <c r="N1337" s="3" t="s">
        <v>2389</v>
      </c>
    </row>
    <row r="1338" spans="1:14" x14ac:dyDescent="0.45">
      <c r="A1338" s="3" t="s">
        <v>479</v>
      </c>
      <c r="B1338" s="3" t="s">
        <v>2387</v>
      </c>
      <c r="C1338" s="3" t="s">
        <v>1265</v>
      </c>
      <c r="D1338" s="3" t="s">
        <v>1237</v>
      </c>
      <c r="E1338" s="3" t="s">
        <v>1266</v>
      </c>
      <c r="F1338" s="79">
        <v>57</v>
      </c>
      <c r="G1338" s="3" t="s">
        <v>1221</v>
      </c>
      <c r="H1338" s="3" t="s">
        <v>2012</v>
      </c>
      <c r="I1338" s="3"/>
      <c r="J1338" s="3" t="s">
        <v>1990</v>
      </c>
      <c r="K1338" s="3" t="s">
        <v>2001</v>
      </c>
      <c r="L1338" s="3"/>
      <c r="M1338" s="3" t="s">
        <v>2002</v>
      </c>
      <c r="N1338" s="3" t="s">
        <v>2390</v>
      </c>
    </row>
    <row r="1339" spans="1:14" x14ac:dyDescent="0.45">
      <c r="A1339" s="3" t="s">
        <v>479</v>
      </c>
      <c r="B1339" s="3" t="s">
        <v>2387</v>
      </c>
      <c r="C1339" s="3" t="s">
        <v>1271</v>
      </c>
      <c r="D1339" s="3" t="s">
        <v>1272</v>
      </c>
      <c r="E1339" s="3" t="s">
        <v>1273</v>
      </c>
      <c r="F1339" s="79">
        <v>63</v>
      </c>
      <c r="G1339" s="3" t="s">
        <v>1221</v>
      </c>
      <c r="H1339" s="3" t="s">
        <v>2012</v>
      </c>
      <c r="I1339" s="3"/>
      <c r="J1339" s="3" t="s">
        <v>1990</v>
      </c>
      <c r="K1339" s="3" t="s">
        <v>2007</v>
      </c>
      <c r="L1339" s="3"/>
      <c r="M1339" s="3" t="s">
        <v>2008</v>
      </c>
      <c r="N1339" s="3" t="s">
        <v>2391</v>
      </c>
    </row>
    <row r="1340" spans="1:14" x14ac:dyDescent="0.45">
      <c r="A1340" s="3" t="s">
        <v>479</v>
      </c>
      <c r="B1340" s="3" t="s">
        <v>2387</v>
      </c>
      <c r="C1340" s="3" t="s">
        <v>1278</v>
      </c>
      <c r="D1340" s="3" t="s">
        <v>1279</v>
      </c>
      <c r="E1340" s="3" t="s">
        <v>1280</v>
      </c>
      <c r="F1340" s="79">
        <v>71</v>
      </c>
      <c r="G1340" s="3" t="s">
        <v>1221</v>
      </c>
      <c r="H1340" s="3" t="s">
        <v>2012</v>
      </c>
      <c r="I1340" s="3"/>
      <c r="J1340" s="3" t="s">
        <v>1990</v>
      </c>
      <c r="K1340" s="3" t="s">
        <v>2015</v>
      </c>
      <c r="L1340" s="3"/>
      <c r="M1340" s="3" t="s">
        <v>2016</v>
      </c>
      <c r="N1340" s="3" t="s">
        <v>2392</v>
      </c>
    </row>
    <row r="1341" spans="1:14" x14ac:dyDescent="0.45">
      <c r="A1341" s="3" t="s">
        <v>479</v>
      </c>
      <c r="B1341" s="3" t="s">
        <v>2387</v>
      </c>
      <c r="C1341" s="3" t="s">
        <v>1236</v>
      </c>
      <c r="D1341" s="3" t="s">
        <v>1237</v>
      </c>
      <c r="E1341" s="3" t="s">
        <v>1238</v>
      </c>
      <c r="F1341" s="79">
        <v>265</v>
      </c>
      <c r="G1341" s="3" t="s">
        <v>1221</v>
      </c>
      <c r="H1341" s="3" t="s">
        <v>2012</v>
      </c>
      <c r="I1341" s="3"/>
      <c r="J1341" s="3" t="s">
        <v>1990</v>
      </c>
      <c r="K1341" s="3" t="s">
        <v>2018</v>
      </c>
      <c r="L1341" s="3"/>
      <c r="M1341" s="3" t="s">
        <v>2019</v>
      </c>
      <c r="N1341" s="3" t="s">
        <v>2393</v>
      </c>
    </row>
    <row r="1342" spans="1:14" x14ac:dyDescent="0.45">
      <c r="A1342" s="3" t="s">
        <v>479</v>
      </c>
      <c r="B1342" s="3" t="s">
        <v>2387</v>
      </c>
      <c r="C1342" s="3" t="s">
        <v>2021</v>
      </c>
      <c r="D1342" s="3" t="s">
        <v>2022</v>
      </c>
      <c r="E1342" s="3" t="s">
        <v>1238</v>
      </c>
      <c r="F1342" s="79">
        <v>73</v>
      </c>
      <c r="G1342" s="3" t="s">
        <v>1221</v>
      </c>
      <c r="H1342" s="3" t="s">
        <v>2012</v>
      </c>
      <c r="I1342" s="3"/>
      <c r="J1342" s="3" t="s">
        <v>1990</v>
      </c>
      <c r="K1342" s="3" t="s">
        <v>2018</v>
      </c>
      <c r="L1342" s="3"/>
      <c r="M1342" s="3" t="s">
        <v>2019</v>
      </c>
      <c r="N1342" s="3" t="s">
        <v>2393</v>
      </c>
    </row>
    <row r="1343" spans="1:14" x14ac:dyDescent="0.45">
      <c r="A1343" s="3" t="s">
        <v>479</v>
      </c>
      <c r="B1343" s="3" t="s">
        <v>2387</v>
      </c>
      <c r="C1343" s="3" t="s">
        <v>1287</v>
      </c>
      <c r="D1343" s="3" t="s">
        <v>1244</v>
      </c>
      <c r="E1343" s="3" t="s">
        <v>1288</v>
      </c>
      <c r="F1343" s="79">
        <v>83</v>
      </c>
      <c r="G1343" s="3" t="s">
        <v>1221</v>
      </c>
      <c r="H1343" s="3" t="s">
        <v>2012</v>
      </c>
      <c r="I1343" s="3"/>
      <c r="J1343" s="3" t="s">
        <v>1990</v>
      </c>
      <c r="K1343" s="3" t="s">
        <v>2023</v>
      </c>
      <c r="L1343" s="3"/>
      <c r="M1343" s="3" t="s">
        <v>2024</v>
      </c>
      <c r="N1343" s="3" t="s">
        <v>2394</v>
      </c>
    </row>
    <row r="1344" spans="1:14" x14ac:dyDescent="0.45">
      <c r="A1344" s="3" t="s">
        <v>479</v>
      </c>
      <c r="B1344" s="3" t="s">
        <v>2387</v>
      </c>
      <c r="C1344" s="3" t="s">
        <v>1293</v>
      </c>
      <c r="D1344" s="3" t="s">
        <v>1294</v>
      </c>
      <c r="E1344" s="3" t="s">
        <v>1295</v>
      </c>
      <c r="F1344" s="79">
        <v>84</v>
      </c>
      <c r="G1344" s="3" t="s">
        <v>1221</v>
      </c>
      <c r="H1344" s="3" t="s">
        <v>2012</v>
      </c>
      <c r="I1344" s="3"/>
      <c r="J1344" s="3" t="s">
        <v>1990</v>
      </c>
      <c r="K1344" s="3" t="s">
        <v>2026</v>
      </c>
      <c r="L1344" s="3"/>
      <c r="M1344" s="3" t="s">
        <v>2027</v>
      </c>
      <c r="N1344" s="3" t="s">
        <v>2395</v>
      </c>
    </row>
    <row r="1345" spans="1:14" x14ac:dyDescent="0.45">
      <c r="A1345" s="3" t="s">
        <v>479</v>
      </c>
      <c r="B1345" s="3" t="s">
        <v>2387</v>
      </c>
      <c r="C1345" s="3" t="s">
        <v>1300</v>
      </c>
      <c r="D1345" s="3" t="s">
        <v>1301</v>
      </c>
      <c r="E1345" s="3" t="s">
        <v>1302</v>
      </c>
      <c r="F1345" s="79">
        <v>83</v>
      </c>
      <c r="G1345" s="3" t="s">
        <v>1221</v>
      </c>
      <c r="H1345" s="3" t="s">
        <v>2012</v>
      </c>
      <c r="I1345" s="3"/>
      <c r="J1345" s="3" t="s">
        <v>1990</v>
      </c>
      <c r="K1345" s="3" t="s">
        <v>2029</v>
      </c>
      <c r="L1345" s="3"/>
      <c r="M1345" s="3" t="s">
        <v>2030</v>
      </c>
      <c r="N1345" s="3" t="s">
        <v>2396</v>
      </c>
    </row>
    <row r="1346" spans="1:14" x14ac:dyDescent="0.45">
      <c r="A1346" s="3" t="s">
        <v>479</v>
      </c>
      <c r="B1346" s="3" t="s">
        <v>2387</v>
      </c>
      <c r="C1346" s="3" t="s">
        <v>1243</v>
      </c>
      <c r="D1346" s="3" t="s">
        <v>1244</v>
      </c>
      <c r="E1346" s="3" t="s">
        <v>1245</v>
      </c>
      <c r="F1346" s="79">
        <v>337</v>
      </c>
      <c r="G1346" s="3" t="s">
        <v>1221</v>
      </c>
      <c r="H1346" s="3" t="s">
        <v>2012</v>
      </c>
      <c r="I1346" s="3"/>
      <c r="J1346" s="3" t="s">
        <v>1990</v>
      </c>
      <c r="K1346" s="3" t="s">
        <v>2032</v>
      </c>
      <c r="L1346" s="3"/>
      <c r="M1346" s="3" t="s">
        <v>2033</v>
      </c>
      <c r="N1346" s="3" t="s">
        <v>2397</v>
      </c>
    </row>
    <row r="1347" spans="1:14" x14ac:dyDescent="0.45">
      <c r="A1347" s="3" t="s">
        <v>479</v>
      </c>
      <c r="B1347" s="3" t="s">
        <v>2387</v>
      </c>
      <c r="C1347" s="3" t="s">
        <v>2035</v>
      </c>
      <c r="D1347" s="3" t="s">
        <v>2036</v>
      </c>
      <c r="E1347" s="3" t="s">
        <v>1245</v>
      </c>
      <c r="F1347" s="79">
        <v>86</v>
      </c>
      <c r="G1347" s="3" t="s">
        <v>1221</v>
      </c>
      <c r="H1347" s="3" t="s">
        <v>2012</v>
      </c>
      <c r="I1347" s="3"/>
      <c r="J1347" s="3" t="s">
        <v>1990</v>
      </c>
      <c r="K1347" s="3" t="s">
        <v>2032</v>
      </c>
      <c r="L1347" s="3"/>
      <c r="M1347" s="3" t="s">
        <v>2033</v>
      </c>
      <c r="N1347" s="3" t="s">
        <v>2397</v>
      </c>
    </row>
    <row r="1348" spans="1:14" x14ac:dyDescent="0.45">
      <c r="A1348" s="3" t="s">
        <v>479</v>
      </c>
      <c r="B1348" s="3" t="s">
        <v>2387</v>
      </c>
      <c r="C1348" s="3" t="s">
        <v>1309</v>
      </c>
      <c r="D1348" s="3" t="s">
        <v>1251</v>
      </c>
      <c r="E1348" s="3" t="s">
        <v>1310</v>
      </c>
      <c r="F1348" s="79">
        <v>93</v>
      </c>
      <c r="G1348" s="3" t="s">
        <v>1221</v>
      </c>
      <c r="H1348" s="3" t="s">
        <v>2012</v>
      </c>
      <c r="I1348" s="3"/>
      <c r="J1348" s="3" t="s">
        <v>1990</v>
      </c>
      <c r="K1348" s="3" t="s">
        <v>2037</v>
      </c>
      <c r="L1348" s="3"/>
      <c r="M1348" s="3" t="s">
        <v>2038</v>
      </c>
      <c r="N1348" s="3" t="s">
        <v>2398</v>
      </c>
    </row>
    <row r="1349" spans="1:14" x14ac:dyDescent="0.45">
      <c r="A1349" s="3" t="s">
        <v>479</v>
      </c>
      <c r="B1349" s="3" t="s">
        <v>2387</v>
      </c>
      <c r="C1349" s="3" t="s">
        <v>1315</v>
      </c>
      <c r="D1349" s="3" t="s">
        <v>1316</v>
      </c>
      <c r="E1349" s="3" t="s">
        <v>1317</v>
      </c>
      <c r="F1349" s="79">
        <v>97</v>
      </c>
      <c r="G1349" s="3" t="s">
        <v>1221</v>
      </c>
      <c r="H1349" s="3" t="s">
        <v>2012</v>
      </c>
      <c r="I1349" s="3"/>
      <c r="J1349" s="3" t="s">
        <v>1990</v>
      </c>
      <c r="K1349" s="3" t="s">
        <v>2040</v>
      </c>
      <c r="L1349" s="3"/>
      <c r="M1349" s="3" t="s">
        <v>2041</v>
      </c>
      <c r="N1349" s="3" t="s">
        <v>2399</v>
      </c>
    </row>
    <row r="1350" spans="1:14" x14ac:dyDescent="0.45">
      <c r="A1350" s="3" t="s">
        <v>479</v>
      </c>
      <c r="B1350" s="3" t="s">
        <v>2387</v>
      </c>
      <c r="C1350" s="3" t="s">
        <v>1322</v>
      </c>
      <c r="D1350" s="3" t="s">
        <v>1323</v>
      </c>
      <c r="E1350" s="3" t="s">
        <v>1324</v>
      </c>
      <c r="F1350" s="79">
        <v>105</v>
      </c>
      <c r="G1350" s="3" t="s">
        <v>1221</v>
      </c>
      <c r="H1350" s="3" t="s">
        <v>2012</v>
      </c>
      <c r="I1350" s="3"/>
      <c r="J1350" s="3" t="s">
        <v>1990</v>
      </c>
      <c r="K1350" s="3" t="s">
        <v>2043</v>
      </c>
      <c r="L1350" s="3"/>
      <c r="M1350" s="3" t="s">
        <v>2044</v>
      </c>
      <c r="N1350" s="3" t="s">
        <v>2400</v>
      </c>
    </row>
    <row r="1351" spans="1:14" x14ac:dyDescent="0.45">
      <c r="A1351" s="3" t="s">
        <v>479</v>
      </c>
      <c r="B1351" s="3" t="s">
        <v>2387</v>
      </c>
      <c r="C1351" s="3" t="s">
        <v>1250</v>
      </c>
      <c r="D1351" s="3" t="s">
        <v>1251</v>
      </c>
      <c r="E1351" s="3" t="s">
        <v>1252</v>
      </c>
      <c r="F1351" s="79">
        <v>409</v>
      </c>
      <c r="G1351" s="3" t="s">
        <v>1221</v>
      </c>
      <c r="H1351" s="3" t="s">
        <v>2012</v>
      </c>
      <c r="I1351" s="3"/>
      <c r="J1351" s="3" t="s">
        <v>1990</v>
      </c>
      <c r="K1351" s="3" t="s">
        <v>2084</v>
      </c>
      <c r="L1351" s="3"/>
      <c r="M1351" s="3" t="s">
        <v>2085</v>
      </c>
      <c r="N1351" s="3" t="s">
        <v>2401</v>
      </c>
    </row>
    <row r="1352" spans="1:14" x14ac:dyDescent="0.45">
      <c r="A1352" s="3" t="s">
        <v>479</v>
      </c>
      <c r="B1352" s="3" t="s">
        <v>2387</v>
      </c>
      <c r="C1352" s="3" t="s">
        <v>2046</v>
      </c>
      <c r="D1352" s="3" t="s">
        <v>2047</v>
      </c>
      <c r="E1352" s="3" t="s">
        <v>1252</v>
      </c>
      <c r="F1352" s="79">
        <v>114</v>
      </c>
      <c r="G1352" s="3" t="s">
        <v>1221</v>
      </c>
      <c r="H1352" s="3" t="s">
        <v>2012</v>
      </c>
      <c r="I1352" s="3"/>
      <c r="J1352" s="3" t="s">
        <v>1990</v>
      </c>
      <c r="K1352" s="3" t="s">
        <v>2084</v>
      </c>
      <c r="L1352" s="3"/>
      <c r="M1352" s="3" t="s">
        <v>2085</v>
      </c>
      <c r="N1352" s="3" t="s">
        <v>2401</v>
      </c>
    </row>
    <row r="1353" spans="1:14" x14ac:dyDescent="0.45">
      <c r="A1353" s="3" t="s">
        <v>479</v>
      </c>
      <c r="B1353" s="3" t="s">
        <v>2387</v>
      </c>
      <c r="C1353" s="3" t="s">
        <v>1331</v>
      </c>
      <c r="D1353" s="3" t="s">
        <v>1255</v>
      </c>
      <c r="E1353" s="3" t="s">
        <v>1332</v>
      </c>
      <c r="F1353" s="79">
        <v>117</v>
      </c>
      <c r="G1353" s="3" t="s">
        <v>1221</v>
      </c>
      <c r="H1353" s="3" t="s">
        <v>2012</v>
      </c>
      <c r="I1353" s="3"/>
      <c r="J1353" s="3" t="s">
        <v>1990</v>
      </c>
      <c r="K1353" s="3" t="s">
        <v>2051</v>
      </c>
      <c r="L1353" s="3"/>
      <c r="M1353" s="3" t="s">
        <v>2052</v>
      </c>
      <c r="N1353" s="3" t="s">
        <v>2402</v>
      </c>
    </row>
    <row r="1354" spans="1:14" x14ac:dyDescent="0.45">
      <c r="A1354" s="3" t="s">
        <v>479</v>
      </c>
      <c r="B1354" s="3" t="s">
        <v>2387</v>
      </c>
      <c r="C1354" s="3" t="s">
        <v>1337</v>
      </c>
      <c r="D1354" s="3" t="s">
        <v>1338</v>
      </c>
      <c r="E1354" s="3" t="s">
        <v>1339</v>
      </c>
      <c r="F1354" s="79">
        <v>124</v>
      </c>
      <c r="G1354" s="3" t="s">
        <v>1221</v>
      </c>
      <c r="H1354" s="3" t="s">
        <v>2012</v>
      </c>
      <c r="I1354" s="3"/>
      <c r="J1354" s="3" t="s">
        <v>1990</v>
      </c>
      <c r="K1354" s="3" t="s">
        <v>2054</v>
      </c>
      <c r="L1354" s="3"/>
      <c r="M1354" s="3" t="s">
        <v>2055</v>
      </c>
      <c r="N1354" s="3" t="s">
        <v>2403</v>
      </c>
    </row>
    <row r="1355" spans="1:14" x14ac:dyDescent="0.45">
      <c r="A1355" s="3" t="s">
        <v>479</v>
      </c>
      <c r="B1355" s="3" t="s">
        <v>2387</v>
      </c>
      <c r="C1355" s="3" t="s">
        <v>1344</v>
      </c>
      <c r="D1355" s="3" t="s">
        <v>1345</v>
      </c>
      <c r="E1355" s="3" t="s">
        <v>1346</v>
      </c>
      <c r="F1355" s="79">
        <v>128</v>
      </c>
      <c r="G1355" s="3" t="s">
        <v>1221</v>
      </c>
      <c r="H1355" s="3" t="s">
        <v>2012</v>
      </c>
      <c r="I1355" s="3"/>
      <c r="J1355" s="3" t="s">
        <v>1990</v>
      </c>
      <c r="K1355" s="3" t="s">
        <v>2057</v>
      </c>
      <c r="L1355" s="3"/>
      <c r="M1355" s="3" t="s">
        <v>2058</v>
      </c>
      <c r="N1355" s="3" t="s">
        <v>2404</v>
      </c>
    </row>
    <row r="1356" spans="1:14" x14ac:dyDescent="0.45">
      <c r="A1356" s="3" t="s">
        <v>479</v>
      </c>
      <c r="B1356" s="3" t="s">
        <v>2387</v>
      </c>
      <c r="C1356" s="3" t="s">
        <v>1254</v>
      </c>
      <c r="D1356" s="3" t="s">
        <v>1255</v>
      </c>
      <c r="E1356" s="3" t="s">
        <v>1256</v>
      </c>
      <c r="F1356" s="79">
        <v>508</v>
      </c>
      <c r="G1356" s="3" t="s">
        <v>1221</v>
      </c>
      <c r="H1356" s="3" t="s">
        <v>2012</v>
      </c>
      <c r="I1356" s="3"/>
      <c r="J1356" s="3" t="s">
        <v>1990</v>
      </c>
      <c r="K1356" s="3" t="s">
        <v>2048</v>
      </c>
      <c r="L1356" s="3"/>
      <c r="M1356" s="3" t="s">
        <v>2049</v>
      </c>
      <c r="N1356" s="3" t="s">
        <v>2405</v>
      </c>
    </row>
    <row r="1357" spans="1:14" x14ac:dyDescent="0.45">
      <c r="A1357" s="3" t="s">
        <v>479</v>
      </c>
      <c r="B1357" s="3" t="s">
        <v>2387</v>
      </c>
      <c r="C1357" s="3" t="s">
        <v>2060</v>
      </c>
      <c r="D1357" s="3" t="s">
        <v>2061</v>
      </c>
      <c r="E1357" s="3" t="s">
        <v>1256</v>
      </c>
      <c r="F1357" s="79">
        <v>139</v>
      </c>
      <c r="G1357" s="3" t="s">
        <v>1221</v>
      </c>
      <c r="H1357" s="3" t="s">
        <v>2012</v>
      </c>
      <c r="I1357" s="3"/>
      <c r="J1357" s="3" t="s">
        <v>1990</v>
      </c>
      <c r="K1357" s="3" t="s">
        <v>2048</v>
      </c>
      <c r="L1357" s="3"/>
      <c r="M1357" s="3" t="s">
        <v>2049</v>
      </c>
      <c r="N1357" s="3" t="s">
        <v>2405</v>
      </c>
    </row>
    <row r="1358" spans="1:14" x14ac:dyDescent="0.45">
      <c r="A1358" s="3" t="s">
        <v>479</v>
      </c>
      <c r="B1358" s="3" t="s">
        <v>2387</v>
      </c>
      <c r="C1358" s="3" t="s">
        <v>1350</v>
      </c>
      <c r="D1358" s="3" t="s">
        <v>1351</v>
      </c>
      <c r="E1358" s="3" t="s">
        <v>1352</v>
      </c>
      <c r="F1358" s="79">
        <v>141</v>
      </c>
      <c r="G1358" s="3" t="s">
        <v>1221</v>
      </c>
      <c r="H1358" s="3" t="s">
        <v>2012</v>
      </c>
      <c r="I1358" s="3"/>
      <c r="J1358" s="3" t="s">
        <v>1990</v>
      </c>
      <c r="K1358" s="3" t="s">
        <v>2062</v>
      </c>
      <c r="L1358" s="3"/>
      <c r="M1358" s="3" t="s">
        <v>2063</v>
      </c>
      <c r="N1358" s="3" t="s">
        <v>2406</v>
      </c>
    </row>
    <row r="1359" spans="1:14" x14ac:dyDescent="0.45">
      <c r="A1359" s="3" t="s">
        <v>479</v>
      </c>
      <c r="B1359" s="3" t="s">
        <v>2387</v>
      </c>
      <c r="C1359" s="3" t="s">
        <v>1354</v>
      </c>
      <c r="D1359" s="3" t="s">
        <v>1355</v>
      </c>
      <c r="E1359" s="3" t="s">
        <v>1356</v>
      </c>
      <c r="F1359" s="79">
        <v>152</v>
      </c>
      <c r="G1359" s="3" t="s">
        <v>1221</v>
      </c>
      <c r="H1359" s="3" t="s">
        <v>2012</v>
      </c>
      <c r="I1359" s="3"/>
      <c r="J1359" s="3" t="s">
        <v>1990</v>
      </c>
      <c r="K1359" s="3" t="s">
        <v>2065</v>
      </c>
      <c r="L1359" s="3"/>
      <c r="M1359" s="3" t="s">
        <v>2066</v>
      </c>
      <c r="N1359" s="3" t="s">
        <v>2407</v>
      </c>
    </row>
    <row r="1360" spans="1:14" x14ac:dyDescent="0.45">
      <c r="A1360" s="3" t="s">
        <v>402</v>
      </c>
      <c r="B1360" s="3" t="s">
        <v>2408</v>
      </c>
      <c r="C1360" s="3" t="s">
        <v>1287</v>
      </c>
      <c r="D1360" s="3" t="s">
        <v>1244</v>
      </c>
      <c r="E1360" s="3" t="s">
        <v>1288</v>
      </c>
      <c r="F1360" s="79">
        <v>124</v>
      </c>
      <c r="G1360" s="3" t="s">
        <v>1221</v>
      </c>
      <c r="H1360" s="3" t="s">
        <v>1989</v>
      </c>
      <c r="I1360" s="3"/>
      <c r="J1360" s="3" t="s">
        <v>1990</v>
      </c>
      <c r="K1360" s="3" t="s">
        <v>2037</v>
      </c>
      <c r="L1360" s="3"/>
      <c r="M1360" s="3" t="s">
        <v>2038</v>
      </c>
      <c r="N1360" s="3" t="s">
        <v>2409</v>
      </c>
    </row>
    <row r="1361" spans="1:14" x14ac:dyDescent="0.45">
      <c r="A1361" s="3" t="s">
        <v>402</v>
      </c>
      <c r="B1361" s="3" t="s">
        <v>2408</v>
      </c>
      <c r="C1361" s="3" t="s">
        <v>1293</v>
      </c>
      <c r="D1361" s="3" t="s">
        <v>1294</v>
      </c>
      <c r="E1361" s="3" t="s">
        <v>1295</v>
      </c>
      <c r="F1361" s="79">
        <v>145</v>
      </c>
      <c r="G1361" s="3" t="s">
        <v>1221</v>
      </c>
      <c r="H1361" s="3" t="s">
        <v>1989</v>
      </c>
      <c r="I1361" s="3"/>
      <c r="J1361" s="3" t="s">
        <v>1990</v>
      </c>
      <c r="K1361" s="3" t="s">
        <v>2040</v>
      </c>
      <c r="L1361" s="3"/>
      <c r="M1361" s="3" t="s">
        <v>2041</v>
      </c>
      <c r="N1361" s="3" t="s">
        <v>2410</v>
      </c>
    </row>
    <row r="1362" spans="1:14" x14ac:dyDescent="0.45">
      <c r="A1362" s="3" t="s">
        <v>402</v>
      </c>
      <c r="B1362" s="3" t="s">
        <v>2408</v>
      </c>
      <c r="C1362" s="3" t="s">
        <v>1300</v>
      </c>
      <c r="D1362" s="3" t="s">
        <v>1301</v>
      </c>
      <c r="E1362" s="3" t="s">
        <v>1302</v>
      </c>
      <c r="F1362" s="79">
        <v>148</v>
      </c>
      <c r="G1362" s="3" t="s">
        <v>1221</v>
      </c>
      <c r="H1362" s="3" t="s">
        <v>1989</v>
      </c>
      <c r="I1362" s="3"/>
      <c r="J1362" s="3" t="s">
        <v>1990</v>
      </c>
      <c r="K1362" s="3" t="s">
        <v>2043</v>
      </c>
      <c r="L1362" s="3"/>
      <c r="M1362" s="3" t="s">
        <v>2044</v>
      </c>
      <c r="N1362" s="3" t="s">
        <v>2411</v>
      </c>
    </row>
    <row r="1363" spans="1:14" x14ac:dyDescent="0.45">
      <c r="A1363" s="3" t="s">
        <v>402</v>
      </c>
      <c r="B1363" s="3" t="s">
        <v>2408</v>
      </c>
      <c r="C1363" s="3" t="s">
        <v>2035</v>
      </c>
      <c r="D1363" s="3" t="s">
        <v>2036</v>
      </c>
      <c r="E1363" s="3" t="s">
        <v>1245</v>
      </c>
      <c r="F1363" s="79">
        <v>142</v>
      </c>
      <c r="G1363" s="3" t="s">
        <v>1221</v>
      </c>
      <c r="H1363" s="3" t="s">
        <v>1989</v>
      </c>
      <c r="I1363" s="3"/>
      <c r="J1363" s="3" t="s">
        <v>1990</v>
      </c>
      <c r="K1363" s="3" t="s">
        <v>2084</v>
      </c>
      <c r="L1363" s="3"/>
      <c r="M1363" s="3" t="s">
        <v>2085</v>
      </c>
      <c r="N1363" s="3" t="s">
        <v>2412</v>
      </c>
    </row>
    <row r="1364" spans="1:14" x14ac:dyDescent="0.45">
      <c r="A1364" s="3" t="s">
        <v>402</v>
      </c>
      <c r="B1364" s="3" t="s">
        <v>2408</v>
      </c>
      <c r="C1364" s="3" t="s">
        <v>1309</v>
      </c>
      <c r="D1364" s="3" t="s">
        <v>1251</v>
      </c>
      <c r="E1364" s="3" t="s">
        <v>1310</v>
      </c>
      <c r="F1364" s="79">
        <v>156</v>
      </c>
      <c r="G1364" s="3" t="s">
        <v>1221</v>
      </c>
      <c r="H1364" s="3" t="s">
        <v>2012</v>
      </c>
      <c r="I1364" s="3"/>
      <c r="J1364" s="3" t="s">
        <v>1990</v>
      </c>
      <c r="K1364" s="3" t="s">
        <v>2037</v>
      </c>
      <c r="L1364" s="3"/>
      <c r="M1364" s="3" t="s">
        <v>2038</v>
      </c>
      <c r="N1364" s="3" t="s">
        <v>2409</v>
      </c>
    </row>
    <row r="1365" spans="1:14" x14ac:dyDescent="0.45">
      <c r="A1365" s="3" t="s">
        <v>402</v>
      </c>
      <c r="B1365" s="3" t="s">
        <v>2408</v>
      </c>
      <c r="C1365" s="3" t="s">
        <v>1315</v>
      </c>
      <c r="D1365" s="3" t="s">
        <v>1316</v>
      </c>
      <c r="E1365" s="3" t="s">
        <v>1317</v>
      </c>
      <c r="F1365" s="79">
        <v>183</v>
      </c>
      <c r="G1365" s="3" t="s">
        <v>1221</v>
      </c>
      <c r="H1365" s="3" t="s">
        <v>2012</v>
      </c>
      <c r="I1365" s="3"/>
      <c r="J1365" s="3" t="s">
        <v>1990</v>
      </c>
      <c r="K1365" s="3" t="s">
        <v>2040</v>
      </c>
      <c r="L1365" s="3"/>
      <c r="M1365" s="3" t="s">
        <v>2041</v>
      </c>
      <c r="N1365" s="3" t="s">
        <v>2410</v>
      </c>
    </row>
    <row r="1366" spans="1:14" x14ac:dyDescent="0.45">
      <c r="A1366" s="3" t="s">
        <v>402</v>
      </c>
      <c r="B1366" s="3" t="s">
        <v>2408</v>
      </c>
      <c r="C1366" s="3" t="s">
        <v>1322</v>
      </c>
      <c r="D1366" s="3" t="s">
        <v>1323</v>
      </c>
      <c r="E1366" s="3" t="s">
        <v>1324</v>
      </c>
      <c r="F1366" s="79">
        <v>189</v>
      </c>
      <c r="G1366" s="3" t="s">
        <v>1221</v>
      </c>
      <c r="H1366" s="3" t="s">
        <v>2012</v>
      </c>
      <c r="I1366" s="3"/>
      <c r="J1366" s="3" t="s">
        <v>1990</v>
      </c>
      <c r="K1366" s="3" t="s">
        <v>2043</v>
      </c>
      <c r="L1366" s="3"/>
      <c r="M1366" s="3" t="s">
        <v>2044</v>
      </c>
      <c r="N1366" s="3" t="s">
        <v>2411</v>
      </c>
    </row>
    <row r="1367" spans="1:14" x14ac:dyDescent="0.45">
      <c r="A1367" s="3" t="s">
        <v>402</v>
      </c>
      <c r="B1367" s="3" t="s">
        <v>2408</v>
      </c>
      <c r="C1367" s="3" t="s">
        <v>1250</v>
      </c>
      <c r="D1367" s="3" t="s">
        <v>1251</v>
      </c>
      <c r="E1367" s="3" t="s">
        <v>1252</v>
      </c>
      <c r="F1367" s="79">
        <v>726</v>
      </c>
      <c r="G1367" s="3" t="s">
        <v>1221</v>
      </c>
      <c r="H1367" s="3" t="s">
        <v>2012</v>
      </c>
      <c r="I1367" s="3"/>
      <c r="J1367" s="3" t="s">
        <v>1990</v>
      </c>
      <c r="K1367" s="3" t="s">
        <v>2084</v>
      </c>
      <c r="L1367" s="3"/>
      <c r="M1367" s="3" t="s">
        <v>2085</v>
      </c>
      <c r="N1367" s="3" t="s">
        <v>2412</v>
      </c>
    </row>
    <row r="1368" spans="1:14" x14ac:dyDescent="0.45">
      <c r="A1368" s="3" t="s">
        <v>402</v>
      </c>
      <c r="B1368" s="3" t="s">
        <v>2408</v>
      </c>
      <c r="C1368" s="3" t="s">
        <v>2046</v>
      </c>
      <c r="D1368" s="3" t="s">
        <v>2047</v>
      </c>
      <c r="E1368" s="3" t="s">
        <v>1252</v>
      </c>
      <c r="F1368" s="79">
        <v>195</v>
      </c>
      <c r="G1368" s="3" t="s">
        <v>1221</v>
      </c>
      <c r="H1368" s="3" t="s">
        <v>2012</v>
      </c>
      <c r="I1368" s="3"/>
      <c r="J1368" s="3" t="s">
        <v>1990</v>
      </c>
      <c r="K1368" s="3" t="s">
        <v>2084</v>
      </c>
      <c r="L1368" s="3"/>
      <c r="M1368" s="3" t="s">
        <v>2085</v>
      </c>
      <c r="N1368" s="3" t="s">
        <v>2412</v>
      </c>
    </row>
    <row r="1369" spans="1:14" x14ac:dyDescent="0.45">
      <c r="A1369" s="3" t="s">
        <v>402</v>
      </c>
      <c r="B1369" s="3" t="s">
        <v>2408</v>
      </c>
      <c r="C1369" s="3" t="s">
        <v>1331</v>
      </c>
      <c r="D1369" s="3" t="s">
        <v>1255</v>
      </c>
      <c r="E1369" s="3" t="s">
        <v>1332</v>
      </c>
      <c r="F1369" s="79">
        <v>204</v>
      </c>
      <c r="G1369" s="3" t="s">
        <v>1221</v>
      </c>
      <c r="H1369" s="3" t="s">
        <v>2012</v>
      </c>
      <c r="I1369" s="3"/>
      <c r="J1369" s="3" t="s">
        <v>1990</v>
      </c>
      <c r="K1369" s="3" t="s">
        <v>2051</v>
      </c>
      <c r="L1369" s="3"/>
      <c r="M1369" s="3" t="s">
        <v>2052</v>
      </c>
      <c r="N1369" s="3" t="s">
        <v>2413</v>
      </c>
    </row>
    <row r="1370" spans="1:14" x14ac:dyDescent="0.45">
      <c r="A1370" s="3" t="s">
        <v>402</v>
      </c>
      <c r="B1370" s="3" t="s">
        <v>2408</v>
      </c>
      <c r="C1370" s="3" t="s">
        <v>1337</v>
      </c>
      <c r="D1370" s="3" t="s">
        <v>1338</v>
      </c>
      <c r="E1370" s="3" t="s">
        <v>1339</v>
      </c>
      <c r="F1370" s="79">
        <v>244</v>
      </c>
      <c r="G1370" s="3" t="s">
        <v>1221</v>
      </c>
      <c r="H1370" s="3" t="s">
        <v>2012</v>
      </c>
      <c r="I1370" s="3"/>
      <c r="J1370" s="3" t="s">
        <v>1990</v>
      </c>
      <c r="K1370" s="3" t="s">
        <v>2054</v>
      </c>
      <c r="L1370" s="3"/>
      <c r="M1370" s="3" t="s">
        <v>2055</v>
      </c>
      <c r="N1370" s="3" t="s">
        <v>2414</v>
      </c>
    </row>
    <row r="1371" spans="1:14" x14ac:dyDescent="0.45">
      <c r="A1371" s="3" t="s">
        <v>402</v>
      </c>
      <c r="B1371" s="3" t="s">
        <v>2408</v>
      </c>
      <c r="C1371" s="3" t="s">
        <v>1344</v>
      </c>
      <c r="D1371" s="3" t="s">
        <v>1345</v>
      </c>
      <c r="E1371" s="3" t="s">
        <v>1346</v>
      </c>
      <c r="F1371" s="79">
        <v>255</v>
      </c>
      <c r="G1371" s="3" t="s">
        <v>1221</v>
      </c>
      <c r="H1371" s="3" t="s">
        <v>2012</v>
      </c>
      <c r="I1371" s="3"/>
      <c r="J1371" s="3" t="s">
        <v>1990</v>
      </c>
      <c r="K1371" s="3" t="s">
        <v>2057</v>
      </c>
      <c r="L1371" s="3"/>
      <c r="M1371" s="3" t="s">
        <v>2058</v>
      </c>
      <c r="N1371" s="3" t="s">
        <v>2415</v>
      </c>
    </row>
    <row r="1372" spans="1:14" x14ac:dyDescent="0.45">
      <c r="A1372" s="3" t="s">
        <v>402</v>
      </c>
      <c r="B1372" s="3" t="s">
        <v>2408</v>
      </c>
      <c r="C1372" s="3" t="s">
        <v>1254</v>
      </c>
      <c r="D1372" s="3" t="s">
        <v>1255</v>
      </c>
      <c r="E1372" s="3" t="s">
        <v>1256</v>
      </c>
      <c r="F1372" s="79">
        <v>950</v>
      </c>
      <c r="G1372" s="3" t="s">
        <v>1221</v>
      </c>
      <c r="H1372" s="3" t="s">
        <v>2012</v>
      </c>
      <c r="I1372" s="3"/>
      <c r="J1372" s="3" t="s">
        <v>1990</v>
      </c>
      <c r="K1372" s="3" t="s">
        <v>2048</v>
      </c>
      <c r="L1372" s="3"/>
      <c r="M1372" s="3" t="s">
        <v>2049</v>
      </c>
      <c r="N1372" s="3" t="s">
        <v>2416</v>
      </c>
    </row>
    <row r="1373" spans="1:14" x14ac:dyDescent="0.45">
      <c r="A1373" s="3" t="s">
        <v>402</v>
      </c>
      <c r="B1373" s="3" t="s">
        <v>2408</v>
      </c>
      <c r="C1373" s="3" t="s">
        <v>2060</v>
      </c>
      <c r="D1373" s="3" t="s">
        <v>2061</v>
      </c>
      <c r="E1373" s="3" t="s">
        <v>1256</v>
      </c>
      <c r="F1373" s="79">
        <v>247</v>
      </c>
      <c r="G1373" s="3" t="s">
        <v>1221</v>
      </c>
      <c r="H1373" s="3" t="s">
        <v>2012</v>
      </c>
      <c r="I1373" s="3"/>
      <c r="J1373" s="3" t="s">
        <v>1990</v>
      </c>
      <c r="K1373" s="3" t="s">
        <v>2048</v>
      </c>
      <c r="L1373" s="3"/>
      <c r="M1373" s="3" t="s">
        <v>2049</v>
      </c>
      <c r="N1373" s="3" t="s">
        <v>2416</v>
      </c>
    </row>
    <row r="1374" spans="1:14" x14ac:dyDescent="0.45">
      <c r="A1374" s="3" t="s">
        <v>402</v>
      </c>
      <c r="B1374" s="3" t="s">
        <v>2408</v>
      </c>
      <c r="C1374" s="3" t="s">
        <v>1350</v>
      </c>
      <c r="D1374" s="3" t="s">
        <v>1351</v>
      </c>
      <c r="E1374" s="3" t="s">
        <v>1352</v>
      </c>
      <c r="F1374" s="79">
        <v>261</v>
      </c>
      <c r="G1374" s="3" t="s">
        <v>1221</v>
      </c>
      <c r="H1374" s="3" t="s">
        <v>2012</v>
      </c>
      <c r="I1374" s="3"/>
      <c r="J1374" s="3" t="s">
        <v>1990</v>
      </c>
      <c r="K1374" s="3" t="s">
        <v>2062</v>
      </c>
      <c r="L1374" s="3"/>
      <c r="M1374" s="3" t="s">
        <v>2063</v>
      </c>
      <c r="N1374" s="3" t="s">
        <v>2417</v>
      </c>
    </row>
    <row r="1375" spans="1:14" x14ac:dyDescent="0.45">
      <c r="A1375" s="3" t="s">
        <v>402</v>
      </c>
      <c r="B1375" s="3" t="s">
        <v>2408</v>
      </c>
      <c r="C1375" s="3" t="s">
        <v>1354</v>
      </c>
      <c r="D1375" s="3" t="s">
        <v>1355</v>
      </c>
      <c r="E1375" s="3" t="s">
        <v>1356</v>
      </c>
      <c r="F1375" s="79">
        <v>302</v>
      </c>
      <c r="G1375" s="3" t="s">
        <v>1221</v>
      </c>
      <c r="H1375" s="3" t="s">
        <v>2012</v>
      </c>
      <c r="I1375" s="3"/>
      <c r="J1375" s="3" t="s">
        <v>1990</v>
      </c>
      <c r="K1375" s="3" t="s">
        <v>2065</v>
      </c>
      <c r="L1375" s="3"/>
      <c r="M1375" s="3" t="s">
        <v>2066</v>
      </c>
      <c r="N1375" s="3" t="s">
        <v>2418</v>
      </c>
    </row>
    <row r="1376" spans="1:14" x14ac:dyDescent="0.45">
      <c r="A1376" s="3" t="s">
        <v>1196</v>
      </c>
      <c r="B1376" s="3" t="s">
        <v>2419</v>
      </c>
      <c r="C1376" s="3" t="s">
        <v>2420</v>
      </c>
      <c r="D1376" s="3" t="s">
        <v>1219</v>
      </c>
      <c r="E1376" s="3" t="s">
        <v>2421</v>
      </c>
      <c r="F1376" s="79">
        <v>289.71100000000001</v>
      </c>
      <c r="G1376" s="3" t="s">
        <v>290</v>
      </c>
      <c r="H1376" s="3" t="s">
        <v>2422</v>
      </c>
      <c r="I1376" s="3"/>
      <c r="J1376" s="3" t="s">
        <v>2423</v>
      </c>
      <c r="K1376" s="3" t="s">
        <v>2424</v>
      </c>
      <c r="L1376" s="3"/>
      <c r="M1376" s="3" t="s">
        <v>2425</v>
      </c>
      <c r="N1376" s="3" t="s">
        <v>2426</v>
      </c>
    </row>
    <row r="1377" spans="1:14" x14ac:dyDescent="0.45">
      <c r="A1377" s="3" t="s">
        <v>1196</v>
      </c>
      <c r="B1377" s="3" t="s">
        <v>2419</v>
      </c>
      <c r="C1377" s="3" t="s">
        <v>2427</v>
      </c>
      <c r="D1377" s="3" t="s">
        <v>2428</v>
      </c>
      <c r="E1377" s="3" t="s">
        <v>2429</v>
      </c>
      <c r="F1377" s="79">
        <v>291.85599999999999</v>
      </c>
      <c r="G1377" s="3" t="s">
        <v>290</v>
      </c>
      <c r="H1377" s="3" t="s">
        <v>2422</v>
      </c>
      <c r="I1377" s="3"/>
      <c r="J1377" s="3" t="s">
        <v>2423</v>
      </c>
      <c r="K1377" s="3" t="s">
        <v>2424</v>
      </c>
      <c r="L1377" s="3"/>
      <c r="M1377" s="3" t="s">
        <v>2425</v>
      </c>
      <c r="N1377" s="3" t="s">
        <v>2430</v>
      </c>
    </row>
    <row r="1378" spans="1:14" x14ac:dyDescent="0.45">
      <c r="A1378" s="3" t="s">
        <v>1196</v>
      </c>
      <c r="B1378" s="3" t="s">
        <v>2419</v>
      </c>
      <c r="C1378" s="3" t="s">
        <v>1986</v>
      </c>
      <c r="D1378" s="3" t="s">
        <v>1987</v>
      </c>
      <c r="E1378" s="3" t="s">
        <v>1988</v>
      </c>
      <c r="F1378" s="79">
        <v>295.70499999999998</v>
      </c>
      <c r="G1378" s="3" t="s">
        <v>290</v>
      </c>
      <c r="H1378" s="3" t="s">
        <v>2422</v>
      </c>
      <c r="I1378" s="3"/>
      <c r="J1378" s="3" t="s">
        <v>2423</v>
      </c>
      <c r="K1378" s="3" t="s">
        <v>2424</v>
      </c>
      <c r="L1378" s="3"/>
      <c r="M1378" s="3" t="s">
        <v>2425</v>
      </c>
      <c r="N1378" s="3" t="s">
        <v>2431</v>
      </c>
    </row>
    <row r="1379" spans="1:14" x14ac:dyDescent="0.45">
      <c r="A1379" s="3" t="s">
        <v>1196</v>
      </c>
      <c r="B1379" s="3" t="s">
        <v>2419</v>
      </c>
      <c r="C1379" s="3" t="s">
        <v>1994</v>
      </c>
      <c r="D1379" s="3" t="s">
        <v>1995</v>
      </c>
      <c r="E1379" s="3" t="s">
        <v>1220</v>
      </c>
      <c r="F1379" s="79">
        <v>298.505</v>
      </c>
      <c r="G1379" s="3" t="s">
        <v>290</v>
      </c>
      <c r="H1379" s="3" t="s">
        <v>2422</v>
      </c>
      <c r="I1379" s="3"/>
      <c r="J1379" s="3" t="s">
        <v>2423</v>
      </c>
      <c r="K1379" s="3" t="s">
        <v>2424</v>
      </c>
      <c r="L1379" s="3"/>
      <c r="M1379" s="3" t="s">
        <v>2425</v>
      </c>
      <c r="N1379" s="3" t="s">
        <v>2432</v>
      </c>
    </row>
    <row r="1380" spans="1:14" x14ac:dyDescent="0.45">
      <c r="A1380" s="3" t="s">
        <v>1196</v>
      </c>
      <c r="B1380" s="3" t="s">
        <v>2433</v>
      </c>
      <c r="C1380" s="3" t="s">
        <v>1218</v>
      </c>
      <c r="D1380" s="3" t="s">
        <v>1219</v>
      </c>
      <c r="E1380" s="3" t="s">
        <v>1220</v>
      </c>
      <c r="F1380" s="79">
        <v>293.94400000000002</v>
      </c>
      <c r="G1380" s="3" t="s">
        <v>290</v>
      </c>
      <c r="H1380" s="3" t="s">
        <v>2422</v>
      </c>
      <c r="I1380" s="3"/>
      <c r="J1380" s="3" t="s">
        <v>2423</v>
      </c>
      <c r="K1380" s="3" t="s">
        <v>2424</v>
      </c>
      <c r="L1380" s="3"/>
      <c r="M1380" s="3" t="s">
        <v>2425</v>
      </c>
      <c r="N1380" s="3" t="s">
        <v>2434</v>
      </c>
    </row>
    <row r="1381" spans="1:14" x14ac:dyDescent="0.45">
      <c r="A1381" s="3" t="s">
        <v>1196</v>
      </c>
      <c r="B1381" s="3" t="s">
        <v>2419</v>
      </c>
      <c r="C1381" s="3" t="s">
        <v>1999</v>
      </c>
      <c r="D1381" s="3" t="s">
        <v>1230</v>
      </c>
      <c r="E1381" s="3" t="s">
        <v>2000</v>
      </c>
      <c r="F1381" s="79">
        <v>300.60599999999999</v>
      </c>
      <c r="G1381" s="3" t="s">
        <v>290</v>
      </c>
      <c r="H1381" s="3" t="s">
        <v>2422</v>
      </c>
      <c r="I1381" s="3"/>
      <c r="J1381" s="3" t="s">
        <v>2423</v>
      </c>
      <c r="K1381" s="3" t="s">
        <v>2424</v>
      </c>
      <c r="L1381" s="3"/>
      <c r="M1381" s="3" t="s">
        <v>2425</v>
      </c>
      <c r="N1381" s="3" t="s">
        <v>2435</v>
      </c>
    </row>
    <row r="1382" spans="1:14" x14ac:dyDescent="0.45">
      <c r="A1382" s="3" t="s">
        <v>1196</v>
      </c>
      <c r="B1382" s="3" t="s">
        <v>2419</v>
      </c>
      <c r="C1382" s="3" t="s">
        <v>2004</v>
      </c>
      <c r="D1382" s="3" t="s">
        <v>2005</v>
      </c>
      <c r="E1382" s="3" t="s">
        <v>2006</v>
      </c>
      <c r="F1382" s="79">
        <v>303.64499999999998</v>
      </c>
      <c r="G1382" s="3" t="s">
        <v>290</v>
      </c>
      <c r="H1382" s="3" t="s">
        <v>2422</v>
      </c>
      <c r="I1382" s="3"/>
      <c r="J1382" s="3" t="s">
        <v>2423</v>
      </c>
      <c r="K1382" s="3" t="s">
        <v>2424</v>
      </c>
      <c r="L1382" s="3"/>
      <c r="M1382" s="3" t="s">
        <v>2425</v>
      </c>
      <c r="N1382" s="3" t="s">
        <v>2436</v>
      </c>
    </row>
    <row r="1383" spans="1:14" x14ac:dyDescent="0.45">
      <c r="A1383" s="3" t="s">
        <v>1196</v>
      </c>
      <c r="B1383" s="3" t="s">
        <v>2419</v>
      </c>
      <c r="C1383" s="3" t="s">
        <v>2010</v>
      </c>
      <c r="D1383" s="3" t="s">
        <v>2011</v>
      </c>
      <c r="E1383" s="3" t="s">
        <v>1259</v>
      </c>
      <c r="F1383" s="79">
        <v>309.452</v>
      </c>
      <c r="G1383" s="3" t="s">
        <v>290</v>
      </c>
      <c r="H1383" s="3" t="s">
        <v>2422</v>
      </c>
      <c r="I1383" s="3"/>
      <c r="J1383" s="3" t="s">
        <v>2423</v>
      </c>
      <c r="K1383" s="3" t="s">
        <v>2424</v>
      </c>
      <c r="L1383" s="3"/>
      <c r="M1383" s="3" t="s">
        <v>2425</v>
      </c>
      <c r="N1383" s="3" t="s">
        <v>2437</v>
      </c>
    </row>
    <row r="1384" spans="1:14" x14ac:dyDescent="0.45">
      <c r="A1384" s="3" t="s">
        <v>1196</v>
      </c>
      <c r="B1384" s="3" t="s">
        <v>2419</v>
      </c>
      <c r="C1384" s="3" t="s">
        <v>2013</v>
      </c>
      <c r="D1384" s="3" t="s">
        <v>2014</v>
      </c>
      <c r="E1384" s="3" t="s">
        <v>1231</v>
      </c>
      <c r="F1384" s="79">
        <v>315.48200000000003</v>
      </c>
      <c r="G1384" s="3" t="s">
        <v>290</v>
      </c>
      <c r="H1384" s="3" t="s">
        <v>2422</v>
      </c>
      <c r="I1384" s="3"/>
      <c r="J1384" s="3" t="s">
        <v>2423</v>
      </c>
      <c r="K1384" s="3" t="s">
        <v>2424</v>
      </c>
      <c r="L1384" s="3"/>
      <c r="M1384" s="3" t="s">
        <v>2425</v>
      </c>
      <c r="N1384" s="3" t="s">
        <v>2438</v>
      </c>
    </row>
    <row r="1385" spans="1:14" x14ac:dyDescent="0.45">
      <c r="A1385" s="3" t="s">
        <v>1196</v>
      </c>
      <c r="B1385" s="3" t="s">
        <v>2433</v>
      </c>
      <c r="C1385" s="3" t="s">
        <v>1229</v>
      </c>
      <c r="D1385" s="3" t="s">
        <v>1230</v>
      </c>
      <c r="E1385" s="3" t="s">
        <v>1231</v>
      </c>
      <c r="F1385" s="79">
        <v>307.29599999999999</v>
      </c>
      <c r="G1385" s="3" t="s">
        <v>290</v>
      </c>
      <c r="H1385" s="3" t="s">
        <v>2422</v>
      </c>
      <c r="I1385" s="3"/>
      <c r="J1385" s="3" t="s">
        <v>2423</v>
      </c>
      <c r="K1385" s="3" t="s">
        <v>2424</v>
      </c>
      <c r="L1385" s="3"/>
      <c r="M1385" s="3" t="s">
        <v>2425</v>
      </c>
      <c r="N1385" s="3" t="s">
        <v>2439</v>
      </c>
    </row>
    <row r="1386" spans="1:14" x14ac:dyDescent="0.45">
      <c r="A1386" s="3" t="s">
        <v>1196</v>
      </c>
      <c r="B1386" s="3" t="s">
        <v>2419</v>
      </c>
      <c r="C1386" s="3" t="s">
        <v>1265</v>
      </c>
      <c r="D1386" s="3" t="s">
        <v>1237</v>
      </c>
      <c r="E1386" s="3" t="s">
        <v>1266</v>
      </c>
      <c r="F1386" s="79">
        <v>320.68</v>
      </c>
      <c r="G1386" s="3" t="s">
        <v>290</v>
      </c>
      <c r="H1386" s="3" t="s">
        <v>2422</v>
      </c>
      <c r="I1386" s="3"/>
      <c r="J1386" s="3" t="s">
        <v>2423</v>
      </c>
      <c r="K1386" s="3" t="s">
        <v>2424</v>
      </c>
      <c r="L1386" s="3"/>
      <c r="M1386" s="3" t="s">
        <v>2425</v>
      </c>
      <c r="N1386" s="3" t="s">
        <v>2440</v>
      </c>
    </row>
    <row r="1387" spans="1:14" x14ac:dyDescent="0.45">
      <c r="A1387" s="3" t="s">
        <v>1196</v>
      </c>
      <c r="B1387" s="3" t="s">
        <v>2419</v>
      </c>
      <c r="C1387" s="3" t="s">
        <v>1271</v>
      </c>
      <c r="D1387" s="3" t="s">
        <v>1272</v>
      </c>
      <c r="E1387" s="3" t="s">
        <v>1273</v>
      </c>
      <c r="F1387" s="79">
        <v>326.18099999999998</v>
      </c>
      <c r="G1387" s="3" t="s">
        <v>290</v>
      </c>
      <c r="H1387" s="3" t="s">
        <v>2422</v>
      </c>
      <c r="I1387" s="3"/>
      <c r="J1387" s="3" t="s">
        <v>2423</v>
      </c>
      <c r="K1387" s="3" t="s">
        <v>2424</v>
      </c>
      <c r="L1387" s="3"/>
      <c r="M1387" s="3" t="s">
        <v>2425</v>
      </c>
      <c r="N1387" s="3" t="s">
        <v>2441</v>
      </c>
    </row>
    <row r="1388" spans="1:14" x14ac:dyDescent="0.45">
      <c r="A1388" s="3" t="s">
        <v>1196</v>
      </c>
      <c r="B1388" s="3" t="s">
        <v>2419</v>
      </c>
      <c r="C1388" s="3" t="s">
        <v>1278</v>
      </c>
      <c r="D1388" s="3" t="s">
        <v>1279</v>
      </c>
      <c r="E1388" s="3" t="s">
        <v>1280</v>
      </c>
      <c r="F1388" s="79">
        <v>334.30799999999999</v>
      </c>
      <c r="G1388" s="3" t="s">
        <v>290</v>
      </c>
      <c r="H1388" s="3" t="s">
        <v>2422</v>
      </c>
      <c r="I1388" s="3"/>
      <c r="J1388" s="3" t="s">
        <v>2423</v>
      </c>
      <c r="K1388" s="3" t="s">
        <v>2424</v>
      </c>
      <c r="L1388" s="3"/>
      <c r="M1388" s="3" t="s">
        <v>2425</v>
      </c>
      <c r="N1388" s="3" t="s">
        <v>2442</v>
      </c>
    </row>
    <row r="1389" spans="1:14" x14ac:dyDescent="0.45">
      <c r="A1389" s="3" t="s">
        <v>1196</v>
      </c>
      <c r="B1389" s="3" t="s">
        <v>2419</v>
      </c>
      <c r="C1389" s="3" t="s">
        <v>2021</v>
      </c>
      <c r="D1389" s="3" t="s">
        <v>2022</v>
      </c>
      <c r="E1389" s="3" t="s">
        <v>1238</v>
      </c>
      <c r="F1389" s="79">
        <v>342.11900000000003</v>
      </c>
      <c r="G1389" s="3" t="s">
        <v>290</v>
      </c>
      <c r="H1389" s="3" t="s">
        <v>2422</v>
      </c>
      <c r="I1389" s="3"/>
      <c r="J1389" s="3" t="s">
        <v>2423</v>
      </c>
      <c r="K1389" s="3" t="s">
        <v>2424</v>
      </c>
      <c r="L1389" s="3"/>
      <c r="M1389" s="3" t="s">
        <v>2425</v>
      </c>
      <c r="N1389" s="3" t="s">
        <v>2443</v>
      </c>
    </row>
    <row r="1390" spans="1:14" x14ac:dyDescent="0.45">
      <c r="A1390" s="3" t="s">
        <v>1196</v>
      </c>
      <c r="B1390" s="3" t="s">
        <v>2433</v>
      </c>
      <c r="C1390" s="3" t="s">
        <v>1236</v>
      </c>
      <c r="D1390" s="3" t="s">
        <v>1237</v>
      </c>
      <c r="E1390" s="3" t="s">
        <v>1238</v>
      </c>
      <c r="F1390" s="79">
        <v>330.822</v>
      </c>
      <c r="G1390" s="3" t="s">
        <v>290</v>
      </c>
      <c r="H1390" s="3" t="s">
        <v>2422</v>
      </c>
      <c r="I1390" s="3"/>
      <c r="J1390" s="3" t="s">
        <v>2423</v>
      </c>
      <c r="K1390" s="3" t="s">
        <v>2424</v>
      </c>
      <c r="L1390" s="3"/>
      <c r="M1390" s="3" t="s">
        <v>2425</v>
      </c>
      <c r="N1390" s="3" t="s">
        <v>2444</v>
      </c>
    </row>
    <row r="1391" spans="1:14" x14ac:dyDescent="0.45">
      <c r="A1391" s="3" t="s">
        <v>1196</v>
      </c>
      <c r="B1391" s="3" t="s">
        <v>2419</v>
      </c>
      <c r="C1391" s="3" t="s">
        <v>1287</v>
      </c>
      <c r="D1391" s="3" t="s">
        <v>1244</v>
      </c>
      <c r="E1391" s="3" t="s">
        <v>1288</v>
      </c>
      <c r="F1391" s="79">
        <v>347.83</v>
      </c>
      <c r="G1391" s="3" t="s">
        <v>290</v>
      </c>
      <c r="H1391" s="3" t="s">
        <v>2422</v>
      </c>
      <c r="I1391" s="3"/>
      <c r="J1391" s="3" t="s">
        <v>2423</v>
      </c>
      <c r="K1391" s="3" t="s">
        <v>2424</v>
      </c>
      <c r="L1391" s="3"/>
      <c r="M1391" s="3" t="s">
        <v>2425</v>
      </c>
      <c r="N1391" s="3" t="s">
        <v>2445</v>
      </c>
    </row>
    <row r="1392" spans="1:14" x14ac:dyDescent="0.45">
      <c r="A1392" s="3" t="s">
        <v>1196</v>
      </c>
      <c r="B1392" s="3" t="s">
        <v>2419</v>
      </c>
      <c r="C1392" s="3" t="s">
        <v>1293</v>
      </c>
      <c r="D1392" s="3" t="s">
        <v>1294</v>
      </c>
      <c r="E1392" s="3" t="s">
        <v>1295</v>
      </c>
      <c r="F1392" s="79">
        <v>352.791</v>
      </c>
      <c r="G1392" s="3" t="s">
        <v>290</v>
      </c>
      <c r="H1392" s="3" t="s">
        <v>2422</v>
      </c>
      <c r="I1392" s="3"/>
      <c r="J1392" s="3" t="s">
        <v>2423</v>
      </c>
      <c r="K1392" s="3" t="s">
        <v>2424</v>
      </c>
      <c r="L1392" s="3"/>
      <c r="M1392" s="3" t="s">
        <v>2425</v>
      </c>
      <c r="N1392" s="3" t="s">
        <v>2446</v>
      </c>
    </row>
    <row r="1393" spans="1:14" x14ac:dyDescent="0.45">
      <c r="A1393" s="3" t="s">
        <v>1196</v>
      </c>
      <c r="B1393" s="3" t="s">
        <v>2419</v>
      </c>
      <c r="C1393" s="3" t="s">
        <v>1300</v>
      </c>
      <c r="D1393" s="3" t="s">
        <v>1301</v>
      </c>
      <c r="E1393" s="3" t="s">
        <v>1302</v>
      </c>
      <c r="F1393" s="79">
        <v>356.14400000000001</v>
      </c>
      <c r="G1393" s="3" t="s">
        <v>290</v>
      </c>
      <c r="H1393" s="3" t="s">
        <v>2422</v>
      </c>
      <c r="I1393" s="3"/>
      <c r="J1393" s="3" t="s">
        <v>2423</v>
      </c>
      <c r="K1393" s="3" t="s">
        <v>2424</v>
      </c>
      <c r="L1393" s="3"/>
      <c r="M1393" s="3" t="s">
        <v>2425</v>
      </c>
      <c r="N1393" s="3" t="s">
        <v>2447</v>
      </c>
    </row>
    <row r="1394" spans="1:14" x14ac:dyDescent="0.45">
      <c r="A1394" s="3" t="s">
        <v>1196</v>
      </c>
      <c r="B1394" s="3" t="s">
        <v>2419</v>
      </c>
      <c r="C1394" s="3" t="s">
        <v>2035</v>
      </c>
      <c r="D1394" s="3" t="s">
        <v>2036</v>
      </c>
      <c r="E1394" s="3" t="s">
        <v>1245</v>
      </c>
      <c r="F1394" s="79">
        <v>360.25700000000001</v>
      </c>
      <c r="G1394" s="3" t="s">
        <v>290</v>
      </c>
      <c r="H1394" s="3" t="s">
        <v>2422</v>
      </c>
      <c r="I1394" s="3"/>
      <c r="J1394" s="3" t="s">
        <v>2423</v>
      </c>
      <c r="K1394" s="3" t="s">
        <v>2424</v>
      </c>
      <c r="L1394" s="3"/>
      <c r="M1394" s="3" t="s">
        <v>2425</v>
      </c>
      <c r="N1394" s="3" t="s">
        <v>2448</v>
      </c>
    </row>
    <row r="1395" spans="1:14" x14ac:dyDescent="0.45">
      <c r="A1395" s="3" t="s">
        <v>1196</v>
      </c>
      <c r="B1395" s="3" t="s">
        <v>2433</v>
      </c>
      <c r="C1395" s="3" t="s">
        <v>1243</v>
      </c>
      <c r="D1395" s="3" t="s">
        <v>1244</v>
      </c>
      <c r="E1395" s="3" t="s">
        <v>1245</v>
      </c>
      <c r="F1395" s="79">
        <v>354.25599999999997</v>
      </c>
      <c r="G1395" s="3" t="s">
        <v>290</v>
      </c>
      <c r="H1395" s="3" t="s">
        <v>2422</v>
      </c>
      <c r="I1395" s="3"/>
      <c r="J1395" s="3" t="s">
        <v>2423</v>
      </c>
      <c r="K1395" s="3" t="s">
        <v>2424</v>
      </c>
      <c r="L1395" s="3"/>
      <c r="M1395" s="3" t="s">
        <v>2425</v>
      </c>
      <c r="N1395" s="3" t="s">
        <v>2449</v>
      </c>
    </row>
    <row r="1396" spans="1:14" x14ac:dyDescent="0.45">
      <c r="A1396" s="3" t="s">
        <v>1196</v>
      </c>
      <c r="B1396" s="3" t="s">
        <v>2419</v>
      </c>
      <c r="C1396" s="3" t="s">
        <v>1309</v>
      </c>
      <c r="D1396" s="3" t="s">
        <v>1251</v>
      </c>
      <c r="E1396" s="3" t="s">
        <v>1310</v>
      </c>
      <c r="F1396" s="79">
        <v>363.79700000000003</v>
      </c>
      <c r="G1396" s="3" t="s">
        <v>290</v>
      </c>
      <c r="H1396" s="3" t="s">
        <v>2422</v>
      </c>
      <c r="I1396" s="3"/>
      <c r="J1396" s="3" t="s">
        <v>2423</v>
      </c>
      <c r="K1396" s="3" t="s">
        <v>2424</v>
      </c>
      <c r="L1396" s="3"/>
      <c r="M1396" s="3" t="s">
        <v>2425</v>
      </c>
      <c r="N1396" s="3" t="s">
        <v>2450</v>
      </c>
    </row>
    <row r="1397" spans="1:14" x14ac:dyDescent="0.45">
      <c r="A1397" s="3" t="s">
        <v>1196</v>
      </c>
      <c r="B1397" s="3" t="s">
        <v>2419</v>
      </c>
      <c r="C1397" s="3" t="s">
        <v>1315</v>
      </c>
      <c r="D1397" s="3" t="s">
        <v>1316</v>
      </c>
      <c r="E1397" s="3" t="s">
        <v>1317</v>
      </c>
      <c r="F1397" s="79">
        <v>367.17599999999999</v>
      </c>
      <c r="G1397" s="3" t="s">
        <v>290</v>
      </c>
      <c r="H1397" s="3" t="s">
        <v>2422</v>
      </c>
      <c r="I1397" s="3"/>
      <c r="J1397" s="3" t="s">
        <v>2423</v>
      </c>
      <c r="K1397" s="3" t="s">
        <v>2424</v>
      </c>
      <c r="L1397" s="3"/>
      <c r="M1397" s="3" t="s">
        <v>2425</v>
      </c>
      <c r="N1397" s="3" t="s">
        <v>2451</v>
      </c>
    </row>
    <row r="1398" spans="1:14" x14ac:dyDescent="0.45">
      <c r="A1398" s="3" t="s">
        <v>1196</v>
      </c>
      <c r="B1398" s="3" t="s">
        <v>2419</v>
      </c>
      <c r="C1398" s="3" t="s">
        <v>1322</v>
      </c>
      <c r="D1398" s="3" t="s">
        <v>1323</v>
      </c>
      <c r="E1398" s="3" t="s">
        <v>1324</v>
      </c>
      <c r="F1398" s="79">
        <v>370.44499999999999</v>
      </c>
      <c r="G1398" s="3" t="s">
        <v>290</v>
      </c>
      <c r="H1398" s="3" t="s">
        <v>2422</v>
      </c>
      <c r="I1398" s="3"/>
      <c r="J1398" s="3" t="s">
        <v>2423</v>
      </c>
      <c r="K1398" s="3" t="s">
        <v>2424</v>
      </c>
      <c r="L1398" s="3"/>
      <c r="M1398" s="3" t="s">
        <v>2425</v>
      </c>
      <c r="N1398" s="3" t="s">
        <v>2452</v>
      </c>
    </row>
    <row r="1399" spans="1:14" x14ac:dyDescent="0.45">
      <c r="A1399" s="3" t="s">
        <v>1196</v>
      </c>
      <c r="B1399" s="3" t="s">
        <v>2419</v>
      </c>
      <c r="C1399" s="3" t="s">
        <v>2046</v>
      </c>
      <c r="D1399" s="3" t="s">
        <v>2047</v>
      </c>
      <c r="E1399" s="3" t="s">
        <v>1252</v>
      </c>
      <c r="F1399" s="79">
        <v>373.553</v>
      </c>
      <c r="G1399" s="3" t="s">
        <v>290</v>
      </c>
      <c r="H1399" s="3" t="s">
        <v>2422</v>
      </c>
      <c r="I1399" s="3"/>
      <c r="J1399" s="3" t="s">
        <v>2423</v>
      </c>
      <c r="K1399" s="3" t="s">
        <v>2424</v>
      </c>
      <c r="L1399" s="3"/>
      <c r="M1399" s="3" t="s">
        <v>2425</v>
      </c>
      <c r="N1399" s="3" t="s">
        <v>2453</v>
      </c>
    </row>
    <row r="1400" spans="1:14" x14ac:dyDescent="0.45">
      <c r="A1400" s="3" t="s">
        <v>1196</v>
      </c>
      <c r="B1400" s="3" t="s">
        <v>2433</v>
      </c>
      <c r="C1400" s="3" t="s">
        <v>1250</v>
      </c>
      <c r="D1400" s="3" t="s">
        <v>1251</v>
      </c>
      <c r="E1400" s="3" t="s">
        <v>1252</v>
      </c>
      <c r="F1400" s="79">
        <v>368.74299999999999</v>
      </c>
      <c r="G1400" s="3" t="s">
        <v>290</v>
      </c>
      <c r="H1400" s="3" t="s">
        <v>2422</v>
      </c>
      <c r="I1400" s="3"/>
      <c r="J1400" s="3" t="s">
        <v>2423</v>
      </c>
      <c r="K1400" s="3" t="s">
        <v>2424</v>
      </c>
      <c r="L1400" s="3"/>
      <c r="M1400" s="3" t="s">
        <v>2425</v>
      </c>
      <c r="N1400" s="3" t="s">
        <v>2454</v>
      </c>
    </row>
    <row r="1401" spans="1:14" x14ac:dyDescent="0.45">
      <c r="A1401" s="3" t="s">
        <v>1196</v>
      </c>
      <c r="B1401" s="3" t="s">
        <v>2419</v>
      </c>
      <c r="C1401" s="3" t="s">
        <v>1331</v>
      </c>
      <c r="D1401" s="3" t="s">
        <v>1255</v>
      </c>
      <c r="E1401" s="3" t="s">
        <v>1332</v>
      </c>
      <c r="F1401" s="79">
        <v>376.96199999999999</v>
      </c>
      <c r="G1401" s="3" t="s">
        <v>290</v>
      </c>
      <c r="H1401" s="3" t="s">
        <v>2422</v>
      </c>
      <c r="I1401" s="3"/>
      <c r="J1401" s="3" t="s">
        <v>2423</v>
      </c>
      <c r="K1401" s="3" t="s">
        <v>2424</v>
      </c>
      <c r="L1401" s="3"/>
      <c r="M1401" s="3" t="s">
        <v>2425</v>
      </c>
      <c r="N1401" s="3" t="s">
        <v>2455</v>
      </c>
    </row>
    <row r="1402" spans="1:14" x14ac:dyDescent="0.45">
      <c r="A1402" s="3" t="s">
        <v>1196</v>
      </c>
      <c r="B1402" s="3" t="s">
        <v>2419</v>
      </c>
      <c r="C1402" s="3" t="s">
        <v>1337</v>
      </c>
      <c r="D1402" s="3" t="s">
        <v>1338</v>
      </c>
      <c r="E1402" s="3" t="s">
        <v>1339</v>
      </c>
      <c r="F1402" s="79">
        <v>381.339</v>
      </c>
      <c r="G1402" s="3" t="s">
        <v>290</v>
      </c>
      <c r="H1402" s="3" t="s">
        <v>2422</v>
      </c>
      <c r="I1402" s="3"/>
      <c r="J1402" s="3" t="s">
        <v>2423</v>
      </c>
      <c r="K1402" s="3" t="s">
        <v>2424</v>
      </c>
      <c r="L1402" s="3"/>
      <c r="M1402" s="3" t="s">
        <v>2425</v>
      </c>
      <c r="N1402" s="3" t="s">
        <v>2456</v>
      </c>
    </row>
    <row r="1403" spans="1:14" x14ac:dyDescent="0.45">
      <c r="A1403" s="3" t="s">
        <v>1196</v>
      </c>
      <c r="B1403" s="3" t="s">
        <v>2419</v>
      </c>
      <c r="C1403" s="3" t="s">
        <v>1344</v>
      </c>
      <c r="D1403" s="3" t="s">
        <v>1345</v>
      </c>
      <c r="E1403" s="3" t="s">
        <v>1346</v>
      </c>
      <c r="F1403" s="79">
        <v>384.72300000000001</v>
      </c>
      <c r="G1403" s="3" t="s">
        <v>290</v>
      </c>
      <c r="H1403" s="3" t="s">
        <v>2422</v>
      </c>
      <c r="I1403" s="3"/>
      <c r="J1403" s="3" t="s">
        <v>2423</v>
      </c>
      <c r="K1403" s="3" t="s">
        <v>2424</v>
      </c>
      <c r="L1403" s="3"/>
      <c r="M1403" s="3" t="s">
        <v>2425</v>
      </c>
      <c r="N1403" s="3" t="s">
        <v>2457</v>
      </c>
    </row>
    <row r="1404" spans="1:14" x14ac:dyDescent="0.45">
      <c r="A1404" s="3" t="s">
        <v>1196</v>
      </c>
      <c r="B1404" s="3" t="s">
        <v>2419</v>
      </c>
      <c r="C1404" s="3" t="s">
        <v>2060</v>
      </c>
      <c r="D1404" s="3" t="s">
        <v>2061</v>
      </c>
      <c r="E1404" s="3" t="s">
        <v>1256</v>
      </c>
      <c r="F1404" s="79">
        <v>388.54599999999999</v>
      </c>
      <c r="G1404" s="3" t="s">
        <v>290</v>
      </c>
      <c r="H1404" s="3" t="s">
        <v>2422</v>
      </c>
      <c r="I1404" s="3"/>
      <c r="J1404" s="3" t="s">
        <v>2423</v>
      </c>
      <c r="K1404" s="3" t="s">
        <v>2424</v>
      </c>
      <c r="L1404" s="3"/>
      <c r="M1404" s="3" t="s">
        <v>2425</v>
      </c>
      <c r="N1404" s="3" t="s">
        <v>2458</v>
      </c>
    </row>
    <row r="1405" spans="1:14" x14ac:dyDescent="0.45">
      <c r="A1405" s="3" t="s">
        <v>1196</v>
      </c>
      <c r="B1405" s="3" t="s">
        <v>2433</v>
      </c>
      <c r="C1405" s="3" t="s">
        <v>1254</v>
      </c>
      <c r="D1405" s="3" t="s">
        <v>1255</v>
      </c>
      <c r="E1405" s="3" t="s">
        <v>1256</v>
      </c>
      <c r="F1405" s="79">
        <v>382.37799999999999</v>
      </c>
      <c r="G1405" s="3" t="s">
        <v>290</v>
      </c>
      <c r="H1405" s="3" t="s">
        <v>2422</v>
      </c>
      <c r="I1405" s="3"/>
      <c r="J1405" s="3" t="s">
        <v>2423</v>
      </c>
      <c r="K1405" s="3" t="s">
        <v>2424</v>
      </c>
      <c r="L1405" s="3"/>
      <c r="M1405" s="3" t="s">
        <v>2425</v>
      </c>
      <c r="N1405" s="3" t="s">
        <v>2459</v>
      </c>
    </row>
    <row r="1406" spans="1:14" x14ac:dyDescent="0.45">
      <c r="A1406" s="3" t="s">
        <v>1196</v>
      </c>
      <c r="B1406" s="3" t="s">
        <v>2419</v>
      </c>
      <c r="C1406" s="3" t="s">
        <v>1350</v>
      </c>
      <c r="D1406" s="3" t="s">
        <v>1351</v>
      </c>
      <c r="E1406" s="3" t="s">
        <v>1352</v>
      </c>
      <c r="F1406" s="79">
        <v>391.61</v>
      </c>
      <c r="G1406" s="3" t="s">
        <v>290</v>
      </c>
      <c r="H1406" s="3" t="s">
        <v>2422</v>
      </c>
      <c r="I1406" s="3"/>
      <c r="J1406" s="3" t="s">
        <v>2423</v>
      </c>
      <c r="K1406" s="3" t="s">
        <v>2424</v>
      </c>
      <c r="L1406" s="3"/>
      <c r="M1406" s="3" t="s">
        <v>2425</v>
      </c>
      <c r="N1406" s="3" t="s">
        <v>2460</v>
      </c>
    </row>
    <row r="1407" spans="1:14" x14ac:dyDescent="0.45">
      <c r="A1407" s="3" t="s">
        <v>1196</v>
      </c>
      <c r="B1407" s="3" t="s">
        <v>2419</v>
      </c>
      <c r="C1407" s="3" t="s">
        <v>1354</v>
      </c>
      <c r="D1407" s="3" t="s">
        <v>1355</v>
      </c>
      <c r="E1407" s="3" t="s">
        <v>1356</v>
      </c>
      <c r="F1407" s="79">
        <v>394.63600000000002</v>
      </c>
      <c r="G1407" s="3" t="s">
        <v>290</v>
      </c>
      <c r="H1407" s="3" t="s">
        <v>2422</v>
      </c>
      <c r="I1407" s="3"/>
      <c r="J1407" s="3" t="s">
        <v>2423</v>
      </c>
      <c r="K1407" s="3" t="s">
        <v>2424</v>
      </c>
      <c r="L1407" s="3"/>
      <c r="M1407" s="3" t="s">
        <v>2425</v>
      </c>
      <c r="N1407" s="3" t="s">
        <v>2461</v>
      </c>
    </row>
    <row r="1408" spans="1:14" x14ac:dyDescent="0.45">
      <c r="A1408" s="3" t="s">
        <v>1196</v>
      </c>
      <c r="B1408" s="3" t="s">
        <v>2419</v>
      </c>
      <c r="C1408" s="3" t="s">
        <v>2462</v>
      </c>
      <c r="D1408" s="3" t="s">
        <v>2182</v>
      </c>
      <c r="E1408" s="3" t="s">
        <v>2183</v>
      </c>
      <c r="F1408" s="79">
        <v>397.83699999999999</v>
      </c>
      <c r="G1408" s="3" t="s">
        <v>290</v>
      </c>
      <c r="H1408" s="3" t="s">
        <v>2422</v>
      </c>
      <c r="I1408" s="3"/>
      <c r="J1408" s="3" t="s">
        <v>2423</v>
      </c>
      <c r="K1408" s="3" t="s">
        <v>2424</v>
      </c>
      <c r="L1408" s="3"/>
      <c r="M1408" s="3" t="s">
        <v>2425</v>
      </c>
      <c r="N1408" s="3" t="s">
        <v>2463</v>
      </c>
    </row>
    <row r="1409" spans="1:14" x14ac:dyDescent="0.45">
      <c r="A1409" s="3" t="s">
        <v>920</v>
      </c>
      <c r="B1409" s="3" t="s">
        <v>2464</v>
      </c>
      <c r="C1409" s="3" t="s">
        <v>2465</v>
      </c>
      <c r="D1409" s="3"/>
      <c r="E1409" s="3"/>
      <c r="F1409" s="79">
        <v>0.3</v>
      </c>
      <c r="G1409" s="3" t="s">
        <v>2466</v>
      </c>
      <c r="H1409" s="3" t="s">
        <v>2467</v>
      </c>
      <c r="I1409" s="3"/>
      <c r="J1409" s="3" t="s">
        <v>2468</v>
      </c>
      <c r="K1409" s="3" t="s">
        <v>2469</v>
      </c>
      <c r="L1409" s="3"/>
      <c r="M1409" s="3" t="s">
        <v>2470</v>
      </c>
      <c r="N1409" s="3" t="s">
        <v>2471</v>
      </c>
    </row>
    <row r="1410" spans="1:14" x14ac:dyDescent="0.45">
      <c r="A1410" s="3" t="s">
        <v>922</v>
      </c>
      <c r="B1410" s="3" t="s">
        <v>2472</v>
      </c>
      <c r="C1410" s="3" t="s">
        <v>2465</v>
      </c>
      <c r="D1410" s="3"/>
      <c r="E1410" s="3"/>
      <c r="F1410" s="79">
        <v>0.35</v>
      </c>
      <c r="G1410" s="3" t="s">
        <v>2466</v>
      </c>
      <c r="H1410" s="3" t="s">
        <v>2467</v>
      </c>
      <c r="I1410" s="3"/>
      <c r="J1410" s="3" t="s">
        <v>2468</v>
      </c>
      <c r="K1410" s="3" t="s">
        <v>2469</v>
      </c>
      <c r="L1410" s="3"/>
      <c r="M1410" s="3" t="s">
        <v>2470</v>
      </c>
      <c r="N1410" s="3" t="s">
        <v>2471</v>
      </c>
    </row>
    <row r="1411" spans="1:14" x14ac:dyDescent="0.45">
      <c r="A1411" s="3" t="s">
        <v>924</v>
      </c>
      <c r="B1411" s="3" t="s">
        <v>2473</v>
      </c>
      <c r="C1411" s="3" t="s">
        <v>2465</v>
      </c>
      <c r="D1411" s="3"/>
      <c r="E1411" s="3"/>
      <c r="F1411" s="79">
        <v>0.4</v>
      </c>
      <c r="G1411" s="3" t="s">
        <v>2466</v>
      </c>
      <c r="H1411" s="3" t="s">
        <v>2467</v>
      </c>
      <c r="I1411" s="3"/>
      <c r="J1411" s="3" t="s">
        <v>2468</v>
      </c>
      <c r="K1411" s="3" t="s">
        <v>2474</v>
      </c>
      <c r="L1411" s="3"/>
      <c r="M1411" s="3" t="s">
        <v>2475</v>
      </c>
      <c r="N1411" s="3" t="s">
        <v>2476</v>
      </c>
    </row>
    <row r="1412" spans="1:14" x14ac:dyDescent="0.45">
      <c r="A1412" s="3" t="s">
        <v>2477</v>
      </c>
      <c r="B1412" s="3" t="s">
        <v>2478</v>
      </c>
      <c r="C1412" s="3" t="s">
        <v>2465</v>
      </c>
      <c r="D1412" s="3"/>
      <c r="E1412" s="3"/>
      <c r="F1412" s="79">
        <v>0.4</v>
      </c>
      <c r="G1412" s="3" t="s">
        <v>2466</v>
      </c>
      <c r="H1412" s="3" t="s">
        <v>2467</v>
      </c>
      <c r="I1412" s="3"/>
      <c r="J1412" s="3" t="s">
        <v>2468</v>
      </c>
      <c r="K1412" s="3" t="s">
        <v>2479</v>
      </c>
      <c r="L1412" s="3"/>
      <c r="M1412" s="3" t="s">
        <v>2480</v>
      </c>
      <c r="N1412" s="3" t="s">
        <v>2481</v>
      </c>
    </row>
    <row r="1413" spans="1:14" x14ac:dyDescent="0.45">
      <c r="A1413" s="3" t="s">
        <v>2482</v>
      </c>
      <c r="B1413" s="3" t="s">
        <v>2483</v>
      </c>
      <c r="C1413" s="3" t="s">
        <v>2465</v>
      </c>
      <c r="D1413" s="3"/>
      <c r="E1413" s="3"/>
      <c r="F1413" s="79">
        <v>0.4</v>
      </c>
      <c r="G1413" s="3" t="s">
        <v>2466</v>
      </c>
      <c r="H1413" s="3" t="s">
        <v>2467</v>
      </c>
      <c r="I1413" s="3"/>
      <c r="J1413" s="3" t="s">
        <v>2468</v>
      </c>
      <c r="K1413" s="3" t="s">
        <v>2479</v>
      </c>
      <c r="L1413" s="3"/>
      <c r="M1413" s="3" t="s">
        <v>2480</v>
      </c>
      <c r="N1413" s="3" t="s">
        <v>2484</v>
      </c>
    </row>
    <row r="1414" spans="1:14" x14ac:dyDescent="0.45">
      <c r="A1414" s="3" t="s">
        <v>2485</v>
      </c>
      <c r="B1414" s="3" t="s">
        <v>2486</v>
      </c>
      <c r="C1414" s="3" t="s">
        <v>2487</v>
      </c>
      <c r="D1414" s="3"/>
      <c r="E1414" s="3"/>
      <c r="F1414" s="79">
        <v>22</v>
      </c>
      <c r="G1414" s="3" t="s">
        <v>778</v>
      </c>
      <c r="H1414" s="3" t="s">
        <v>2467</v>
      </c>
      <c r="I1414" s="3"/>
      <c r="J1414" s="3" t="s">
        <v>2468</v>
      </c>
      <c r="K1414" s="3" t="s">
        <v>2474</v>
      </c>
      <c r="L1414" s="3"/>
      <c r="M1414" s="3" t="s">
        <v>2475</v>
      </c>
      <c r="N1414" s="3" t="s">
        <v>2488</v>
      </c>
    </row>
    <row r="1415" spans="1:14" x14ac:dyDescent="0.45">
      <c r="A1415" s="3" t="s">
        <v>2489</v>
      </c>
      <c r="B1415" s="3" t="s">
        <v>2490</v>
      </c>
      <c r="C1415" s="3" t="s">
        <v>2491</v>
      </c>
      <c r="D1415" s="3"/>
      <c r="E1415" s="3"/>
      <c r="F1415" s="79">
        <v>14</v>
      </c>
      <c r="G1415" s="3" t="s">
        <v>778</v>
      </c>
      <c r="H1415" s="3" t="s">
        <v>2467</v>
      </c>
      <c r="I1415" s="3"/>
      <c r="J1415" s="3" t="s">
        <v>2468</v>
      </c>
      <c r="K1415" s="3" t="s">
        <v>2474</v>
      </c>
      <c r="L1415" s="3"/>
      <c r="M1415" s="3" t="s">
        <v>2475</v>
      </c>
      <c r="N1415" s="3" t="s">
        <v>2488</v>
      </c>
    </row>
    <row r="1416" spans="1:14" x14ac:dyDescent="0.45">
      <c r="A1416" s="3" t="s">
        <v>2492</v>
      </c>
      <c r="B1416" s="3" t="s">
        <v>2493</v>
      </c>
      <c r="C1416" s="3" t="s">
        <v>2494</v>
      </c>
      <c r="D1416" s="3"/>
      <c r="E1416" s="3"/>
      <c r="F1416" s="79">
        <v>14</v>
      </c>
      <c r="G1416" s="3" t="s">
        <v>778</v>
      </c>
      <c r="H1416" s="3" t="s">
        <v>2467</v>
      </c>
      <c r="I1416" s="3"/>
      <c r="J1416" s="3" t="s">
        <v>2468</v>
      </c>
      <c r="K1416" s="3" t="s">
        <v>2474</v>
      </c>
      <c r="L1416" s="3"/>
      <c r="M1416" s="3" t="s">
        <v>2475</v>
      </c>
      <c r="N1416" s="3" t="s">
        <v>2495</v>
      </c>
    </row>
    <row r="1417" spans="1:14" x14ac:dyDescent="0.45">
      <c r="A1417" s="3" t="s">
        <v>2496</v>
      </c>
      <c r="B1417" s="3" t="s">
        <v>2497</v>
      </c>
      <c r="C1417" s="3" t="s">
        <v>2494</v>
      </c>
      <c r="D1417" s="3"/>
      <c r="E1417" s="3"/>
      <c r="F1417" s="79">
        <v>15</v>
      </c>
      <c r="G1417" s="3" t="s">
        <v>778</v>
      </c>
      <c r="H1417" s="3" t="s">
        <v>2467</v>
      </c>
      <c r="I1417" s="3"/>
      <c r="J1417" s="3" t="s">
        <v>2468</v>
      </c>
      <c r="K1417" s="3" t="s">
        <v>2474</v>
      </c>
      <c r="L1417" s="3"/>
      <c r="M1417" s="3" t="s">
        <v>2475</v>
      </c>
      <c r="N1417" s="3" t="s">
        <v>2498</v>
      </c>
    </row>
    <row r="1418" spans="1:14" x14ac:dyDescent="0.45">
      <c r="A1418" s="3" t="s">
        <v>2499</v>
      </c>
      <c r="B1418" s="3" t="s">
        <v>2500</v>
      </c>
      <c r="C1418" s="3" t="s">
        <v>2501</v>
      </c>
      <c r="D1418" s="3"/>
      <c r="E1418" s="3"/>
      <c r="F1418" s="79">
        <v>2</v>
      </c>
      <c r="G1418" s="3" t="s">
        <v>778</v>
      </c>
      <c r="H1418" s="3" t="s">
        <v>2502</v>
      </c>
      <c r="I1418" s="3"/>
      <c r="J1418" s="3" t="s">
        <v>2503</v>
      </c>
      <c r="K1418" s="3" t="s">
        <v>2504</v>
      </c>
      <c r="L1418" s="3"/>
      <c r="M1418" s="3" t="s">
        <v>2505</v>
      </c>
      <c r="N1418" s="3" t="s">
        <v>2506</v>
      </c>
    </row>
    <row r="1419" spans="1:14" x14ac:dyDescent="0.45">
      <c r="A1419" s="3" t="s">
        <v>2507</v>
      </c>
      <c r="B1419" s="3" t="s">
        <v>2508</v>
      </c>
      <c r="C1419" s="3" t="s">
        <v>2501</v>
      </c>
      <c r="D1419" s="3"/>
      <c r="E1419" s="3"/>
      <c r="F1419" s="79">
        <v>1</v>
      </c>
      <c r="G1419" s="3" t="s">
        <v>2509</v>
      </c>
      <c r="H1419" s="3" t="s">
        <v>2502</v>
      </c>
      <c r="I1419" s="3"/>
      <c r="J1419" s="3" t="s">
        <v>2503</v>
      </c>
      <c r="K1419" s="3" t="s">
        <v>2504</v>
      </c>
      <c r="L1419" s="3"/>
      <c r="M1419" s="3" t="s">
        <v>2505</v>
      </c>
      <c r="N1419" s="3" t="s">
        <v>2510</v>
      </c>
    </row>
    <row r="1420" spans="1:14" x14ac:dyDescent="0.45">
      <c r="A1420" s="3" t="s">
        <v>2511</v>
      </c>
      <c r="B1420" s="3" t="s">
        <v>2512</v>
      </c>
      <c r="C1420" s="3" t="s">
        <v>1331</v>
      </c>
      <c r="D1420" s="3"/>
      <c r="E1420" s="3"/>
      <c r="F1420" s="79">
        <v>0.32</v>
      </c>
      <c r="G1420" s="3" t="s">
        <v>2466</v>
      </c>
      <c r="H1420" s="3" t="s">
        <v>2467</v>
      </c>
      <c r="I1420" s="3"/>
      <c r="J1420" s="3" t="s">
        <v>2468</v>
      </c>
      <c r="K1420" s="3" t="s">
        <v>2469</v>
      </c>
      <c r="L1420" s="3"/>
      <c r="M1420" s="3" t="s">
        <v>2470</v>
      </c>
      <c r="N1420" s="3" t="s">
        <v>2513</v>
      </c>
    </row>
  </sheetData>
  <autoFilter ref="A4:N1420" xr:uid="{00000000-0009-0000-0000-000012000000}"/>
  <hyperlinks>
    <hyperlink ref="M5" r:id="rId1" xr:uid="{00000000-0004-0000-1200-000000000000}"/>
    <hyperlink ref="M6" r:id="rId2" xr:uid="{00000000-0004-0000-1200-000001000000}"/>
    <hyperlink ref="M7" r:id="rId3" xr:uid="{00000000-0004-0000-1200-000002000000}"/>
    <hyperlink ref="M8" r:id="rId4" xr:uid="{00000000-0004-0000-1200-000003000000}"/>
    <hyperlink ref="M9" r:id="rId5" xr:uid="{00000000-0004-0000-1200-000004000000}"/>
    <hyperlink ref="M10" r:id="rId6" xr:uid="{00000000-0004-0000-1200-000005000000}"/>
    <hyperlink ref="M11" r:id="rId7" xr:uid="{00000000-0004-0000-1200-000006000000}"/>
    <hyperlink ref="M12" r:id="rId8" xr:uid="{00000000-0004-0000-1200-000007000000}"/>
    <hyperlink ref="M13" r:id="rId9" xr:uid="{00000000-0004-0000-1200-000008000000}"/>
    <hyperlink ref="M14" r:id="rId10" xr:uid="{00000000-0004-0000-1200-000009000000}"/>
    <hyperlink ref="M15" r:id="rId11" xr:uid="{00000000-0004-0000-1200-00000A000000}"/>
    <hyperlink ref="M16" r:id="rId12" xr:uid="{00000000-0004-0000-1200-00000B000000}"/>
    <hyperlink ref="M17" r:id="rId13" xr:uid="{00000000-0004-0000-1200-00000C000000}"/>
    <hyperlink ref="M18" r:id="rId14" xr:uid="{00000000-0004-0000-1200-00000D000000}"/>
    <hyperlink ref="M19" r:id="rId15" xr:uid="{00000000-0004-0000-1200-00000E000000}"/>
    <hyperlink ref="M20" r:id="rId16" xr:uid="{00000000-0004-0000-1200-00000F000000}"/>
    <hyperlink ref="M21" r:id="rId17" xr:uid="{00000000-0004-0000-1200-000010000000}"/>
    <hyperlink ref="M22" r:id="rId18" xr:uid="{00000000-0004-0000-1200-000011000000}"/>
    <hyperlink ref="M23" r:id="rId19" xr:uid="{00000000-0004-0000-1200-000012000000}"/>
    <hyperlink ref="M24" r:id="rId20" xr:uid="{00000000-0004-0000-1200-000013000000}"/>
    <hyperlink ref="M25" r:id="rId21" xr:uid="{00000000-0004-0000-1200-000014000000}"/>
    <hyperlink ref="M26" r:id="rId22" xr:uid="{00000000-0004-0000-1200-000015000000}"/>
    <hyperlink ref="M27" r:id="rId23" xr:uid="{00000000-0004-0000-1200-000016000000}"/>
    <hyperlink ref="M28" r:id="rId24" xr:uid="{00000000-0004-0000-1200-000017000000}"/>
    <hyperlink ref="M29" r:id="rId25" xr:uid="{00000000-0004-0000-1200-000018000000}"/>
    <hyperlink ref="M30" r:id="rId26" xr:uid="{00000000-0004-0000-1200-000019000000}"/>
    <hyperlink ref="M31" r:id="rId27" xr:uid="{00000000-0004-0000-1200-00001A000000}"/>
    <hyperlink ref="M32" r:id="rId28" xr:uid="{00000000-0004-0000-1200-00001B000000}"/>
    <hyperlink ref="M33" r:id="rId29" xr:uid="{00000000-0004-0000-1200-00001C000000}"/>
    <hyperlink ref="M34" r:id="rId30" xr:uid="{00000000-0004-0000-1200-00001D000000}"/>
    <hyperlink ref="M35" r:id="rId31" xr:uid="{00000000-0004-0000-1200-00001E000000}"/>
    <hyperlink ref="M36" r:id="rId32" xr:uid="{00000000-0004-0000-1200-00001F000000}"/>
    <hyperlink ref="M37" r:id="rId33" xr:uid="{00000000-0004-0000-1200-000020000000}"/>
    <hyperlink ref="M38" r:id="rId34" xr:uid="{00000000-0004-0000-1200-000021000000}"/>
    <hyperlink ref="M39" r:id="rId35" xr:uid="{00000000-0004-0000-1200-000022000000}"/>
    <hyperlink ref="M40" r:id="rId36" xr:uid="{00000000-0004-0000-1200-000023000000}"/>
    <hyperlink ref="M41" r:id="rId37" xr:uid="{00000000-0004-0000-1200-000024000000}"/>
    <hyperlink ref="M42" r:id="rId38" xr:uid="{00000000-0004-0000-1200-000025000000}"/>
    <hyperlink ref="M43" r:id="rId39" xr:uid="{00000000-0004-0000-1200-000026000000}"/>
    <hyperlink ref="M44" r:id="rId40" xr:uid="{00000000-0004-0000-1200-000027000000}"/>
    <hyperlink ref="M45" r:id="rId41" xr:uid="{00000000-0004-0000-1200-000028000000}"/>
    <hyperlink ref="M46" r:id="rId42" xr:uid="{00000000-0004-0000-1200-000029000000}"/>
    <hyperlink ref="M47" r:id="rId43" xr:uid="{00000000-0004-0000-1200-00002A000000}"/>
    <hyperlink ref="M48" r:id="rId44" xr:uid="{00000000-0004-0000-1200-00002B000000}"/>
    <hyperlink ref="M49" r:id="rId45" xr:uid="{00000000-0004-0000-1200-00002C000000}"/>
    <hyperlink ref="M50" r:id="rId46" xr:uid="{00000000-0004-0000-1200-00002D000000}"/>
    <hyperlink ref="M51" r:id="rId47" xr:uid="{00000000-0004-0000-1200-00002E000000}"/>
    <hyperlink ref="M52" r:id="rId48" xr:uid="{00000000-0004-0000-1200-00002F000000}"/>
    <hyperlink ref="M53" r:id="rId49" xr:uid="{00000000-0004-0000-1200-000030000000}"/>
    <hyperlink ref="M54" r:id="rId50" xr:uid="{00000000-0004-0000-1200-000031000000}"/>
    <hyperlink ref="M55" r:id="rId51" xr:uid="{00000000-0004-0000-1200-000032000000}"/>
    <hyperlink ref="M56" r:id="rId52" xr:uid="{00000000-0004-0000-1200-000033000000}"/>
    <hyperlink ref="M57" r:id="rId53" xr:uid="{00000000-0004-0000-1200-000034000000}"/>
    <hyperlink ref="M58" r:id="rId54" xr:uid="{00000000-0004-0000-1200-000035000000}"/>
    <hyperlink ref="M59" r:id="rId55" xr:uid="{00000000-0004-0000-1200-000036000000}"/>
    <hyperlink ref="M60" r:id="rId56" xr:uid="{00000000-0004-0000-1200-000037000000}"/>
    <hyperlink ref="M61" r:id="rId57" xr:uid="{00000000-0004-0000-1200-000038000000}"/>
    <hyperlink ref="M62" r:id="rId58" xr:uid="{00000000-0004-0000-1200-000039000000}"/>
    <hyperlink ref="M63" r:id="rId59" xr:uid="{00000000-0004-0000-1200-00003A000000}"/>
    <hyperlink ref="M64" r:id="rId60" xr:uid="{00000000-0004-0000-1200-00003B000000}"/>
    <hyperlink ref="M65" r:id="rId61" xr:uid="{00000000-0004-0000-1200-00003C000000}"/>
    <hyperlink ref="M66" r:id="rId62" xr:uid="{00000000-0004-0000-1200-00003D000000}"/>
    <hyperlink ref="M67" r:id="rId63" xr:uid="{00000000-0004-0000-1200-00003E000000}"/>
    <hyperlink ref="M68" r:id="rId64" xr:uid="{00000000-0004-0000-1200-00003F000000}"/>
    <hyperlink ref="M69" r:id="rId65" xr:uid="{00000000-0004-0000-1200-000040000000}"/>
    <hyperlink ref="M70" r:id="rId66" xr:uid="{00000000-0004-0000-1200-000041000000}"/>
    <hyperlink ref="M71" r:id="rId67" xr:uid="{00000000-0004-0000-1200-000042000000}"/>
    <hyperlink ref="M72" r:id="rId68" xr:uid="{00000000-0004-0000-1200-000043000000}"/>
    <hyperlink ref="M73" r:id="rId69" xr:uid="{00000000-0004-0000-1200-000044000000}"/>
    <hyperlink ref="M74" r:id="rId70" xr:uid="{00000000-0004-0000-1200-000045000000}"/>
    <hyperlink ref="M75" r:id="rId71" xr:uid="{00000000-0004-0000-1200-000046000000}"/>
    <hyperlink ref="M76" r:id="rId72" xr:uid="{00000000-0004-0000-1200-000047000000}"/>
    <hyperlink ref="M77" r:id="rId73" xr:uid="{00000000-0004-0000-1200-000048000000}"/>
    <hyperlink ref="M78" r:id="rId74" xr:uid="{00000000-0004-0000-1200-000049000000}"/>
    <hyperlink ref="M79" r:id="rId75" xr:uid="{00000000-0004-0000-1200-00004A000000}"/>
    <hyperlink ref="M80" r:id="rId76" xr:uid="{00000000-0004-0000-1200-00004B000000}"/>
    <hyperlink ref="M81" r:id="rId77" xr:uid="{00000000-0004-0000-1200-00004C000000}"/>
    <hyperlink ref="M82" r:id="rId78" xr:uid="{00000000-0004-0000-1200-00004D000000}"/>
    <hyperlink ref="M83" r:id="rId79" xr:uid="{00000000-0004-0000-1200-00004E000000}"/>
    <hyperlink ref="M84" r:id="rId80" xr:uid="{00000000-0004-0000-1200-00004F000000}"/>
    <hyperlink ref="M85" r:id="rId81" xr:uid="{00000000-0004-0000-1200-000050000000}"/>
    <hyperlink ref="M86" r:id="rId82" xr:uid="{00000000-0004-0000-1200-000051000000}"/>
    <hyperlink ref="M87" r:id="rId83" xr:uid="{00000000-0004-0000-1200-000052000000}"/>
    <hyperlink ref="M88" r:id="rId84" xr:uid="{00000000-0004-0000-1200-000053000000}"/>
    <hyperlink ref="M89" r:id="rId85" xr:uid="{00000000-0004-0000-1200-000054000000}"/>
    <hyperlink ref="M90" r:id="rId86" xr:uid="{00000000-0004-0000-1200-000055000000}"/>
    <hyperlink ref="M91" r:id="rId87" xr:uid="{00000000-0004-0000-1200-000056000000}"/>
    <hyperlink ref="M92" r:id="rId88" xr:uid="{00000000-0004-0000-1200-000057000000}"/>
    <hyperlink ref="M93" r:id="rId89" xr:uid="{00000000-0004-0000-1200-000058000000}"/>
    <hyperlink ref="M94" r:id="rId90" xr:uid="{00000000-0004-0000-1200-000059000000}"/>
    <hyperlink ref="M95" r:id="rId91" xr:uid="{00000000-0004-0000-1200-00005A000000}"/>
    <hyperlink ref="M96" r:id="rId92" xr:uid="{00000000-0004-0000-1200-00005B000000}"/>
    <hyperlink ref="M97" r:id="rId93" xr:uid="{00000000-0004-0000-1200-00005C000000}"/>
    <hyperlink ref="M98" r:id="rId94" xr:uid="{00000000-0004-0000-1200-00005D000000}"/>
    <hyperlink ref="M99" r:id="rId95" xr:uid="{00000000-0004-0000-1200-00005E000000}"/>
    <hyperlink ref="M100" r:id="rId96" xr:uid="{00000000-0004-0000-1200-00005F000000}"/>
    <hyperlink ref="M101" r:id="rId97" xr:uid="{00000000-0004-0000-1200-000060000000}"/>
    <hyperlink ref="M102" r:id="rId98" xr:uid="{00000000-0004-0000-1200-000061000000}"/>
    <hyperlink ref="M103" r:id="rId99" xr:uid="{00000000-0004-0000-1200-000062000000}"/>
    <hyperlink ref="M104" r:id="rId100" xr:uid="{00000000-0004-0000-1200-000063000000}"/>
    <hyperlink ref="M105" r:id="rId101" xr:uid="{00000000-0004-0000-1200-000064000000}"/>
    <hyperlink ref="M106" r:id="rId102" xr:uid="{00000000-0004-0000-1200-000065000000}"/>
    <hyperlink ref="M107" r:id="rId103" xr:uid="{00000000-0004-0000-1200-000066000000}"/>
    <hyperlink ref="M108" r:id="rId104" xr:uid="{00000000-0004-0000-1200-000067000000}"/>
    <hyperlink ref="M109" r:id="rId105" xr:uid="{00000000-0004-0000-1200-000068000000}"/>
    <hyperlink ref="M110" r:id="rId106" xr:uid="{00000000-0004-0000-1200-000069000000}"/>
    <hyperlink ref="M111" r:id="rId107" xr:uid="{00000000-0004-0000-1200-00006A000000}"/>
    <hyperlink ref="M112" r:id="rId108" xr:uid="{00000000-0004-0000-1200-00006B000000}"/>
    <hyperlink ref="M113" r:id="rId109" xr:uid="{00000000-0004-0000-1200-00006C000000}"/>
    <hyperlink ref="M114" r:id="rId110" xr:uid="{00000000-0004-0000-1200-00006D000000}"/>
    <hyperlink ref="M115" r:id="rId111" xr:uid="{00000000-0004-0000-1200-00006E000000}"/>
    <hyperlink ref="M116" r:id="rId112" xr:uid="{00000000-0004-0000-1200-00006F000000}"/>
    <hyperlink ref="M117" r:id="rId113" xr:uid="{00000000-0004-0000-1200-000070000000}"/>
    <hyperlink ref="M118" r:id="rId114" xr:uid="{00000000-0004-0000-1200-000071000000}"/>
    <hyperlink ref="M119" r:id="rId115" xr:uid="{00000000-0004-0000-1200-000072000000}"/>
    <hyperlink ref="M120" r:id="rId116" xr:uid="{00000000-0004-0000-1200-000073000000}"/>
    <hyperlink ref="M121" r:id="rId117" xr:uid="{00000000-0004-0000-1200-000074000000}"/>
    <hyperlink ref="M122" r:id="rId118" xr:uid="{00000000-0004-0000-1200-000075000000}"/>
    <hyperlink ref="M123" r:id="rId119" xr:uid="{00000000-0004-0000-1200-000076000000}"/>
    <hyperlink ref="M124" r:id="rId120" xr:uid="{00000000-0004-0000-1200-000077000000}"/>
    <hyperlink ref="M125" r:id="rId121" xr:uid="{00000000-0004-0000-1200-000078000000}"/>
    <hyperlink ref="M126" r:id="rId122" xr:uid="{00000000-0004-0000-1200-000079000000}"/>
    <hyperlink ref="M127" r:id="rId123" xr:uid="{00000000-0004-0000-1200-00007A000000}"/>
    <hyperlink ref="M128" r:id="rId124" xr:uid="{00000000-0004-0000-1200-00007B000000}"/>
    <hyperlink ref="M129" r:id="rId125" xr:uid="{00000000-0004-0000-1200-00007C000000}"/>
    <hyperlink ref="M130" r:id="rId126" xr:uid="{00000000-0004-0000-1200-00007D000000}"/>
    <hyperlink ref="M131" r:id="rId127" xr:uid="{00000000-0004-0000-1200-00007E000000}"/>
    <hyperlink ref="M132" r:id="rId128" xr:uid="{00000000-0004-0000-1200-00007F000000}"/>
    <hyperlink ref="M133" r:id="rId129" xr:uid="{00000000-0004-0000-1200-000080000000}"/>
    <hyperlink ref="M134" r:id="rId130" xr:uid="{00000000-0004-0000-1200-000081000000}"/>
    <hyperlink ref="M135" r:id="rId131" xr:uid="{00000000-0004-0000-1200-000082000000}"/>
    <hyperlink ref="M136" r:id="rId132" xr:uid="{00000000-0004-0000-1200-000083000000}"/>
    <hyperlink ref="M137" r:id="rId133" xr:uid="{00000000-0004-0000-1200-000084000000}"/>
    <hyperlink ref="M138" r:id="rId134" xr:uid="{00000000-0004-0000-1200-000085000000}"/>
    <hyperlink ref="M139" r:id="rId135" xr:uid="{00000000-0004-0000-1200-000086000000}"/>
    <hyperlink ref="M140" r:id="rId136" xr:uid="{00000000-0004-0000-1200-000087000000}"/>
    <hyperlink ref="M141" r:id="rId137" xr:uid="{00000000-0004-0000-1200-000088000000}"/>
    <hyperlink ref="M142" r:id="rId138" xr:uid="{00000000-0004-0000-1200-000089000000}"/>
    <hyperlink ref="M143" r:id="rId139" xr:uid="{00000000-0004-0000-1200-00008A000000}"/>
    <hyperlink ref="M144" r:id="rId140" xr:uid="{00000000-0004-0000-1200-00008B000000}"/>
    <hyperlink ref="M145" r:id="rId141" xr:uid="{00000000-0004-0000-1200-00008C000000}"/>
    <hyperlink ref="M146" r:id="rId142" xr:uid="{00000000-0004-0000-1200-00008D000000}"/>
    <hyperlink ref="M147" r:id="rId143" xr:uid="{00000000-0004-0000-1200-00008E000000}"/>
    <hyperlink ref="M148" r:id="rId144" xr:uid="{00000000-0004-0000-1200-00008F000000}"/>
    <hyperlink ref="M149" r:id="rId145" xr:uid="{00000000-0004-0000-1200-000090000000}"/>
    <hyperlink ref="M150" r:id="rId146" xr:uid="{00000000-0004-0000-1200-000091000000}"/>
    <hyperlink ref="M151" r:id="rId147" xr:uid="{00000000-0004-0000-1200-000092000000}"/>
    <hyperlink ref="M152" r:id="rId148" xr:uid="{00000000-0004-0000-1200-000093000000}"/>
    <hyperlink ref="M153" r:id="rId149" xr:uid="{00000000-0004-0000-1200-000094000000}"/>
    <hyperlink ref="M154" r:id="rId150" xr:uid="{00000000-0004-0000-1200-000095000000}"/>
    <hyperlink ref="M155" r:id="rId151" xr:uid="{00000000-0004-0000-1200-000096000000}"/>
    <hyperlink ref="M156" r:id="rId152" xr:uid="{00000000-0004-0000-1200-000097000000}"/>
    <hyperlink ref="M157" r:id="rId153" xr:uid="{00000000-0004-0000-1200-000098000000}"/>
    <hyperlink ref="M158" r:id="rId154" xr:uid="{00000000-0004-0000-1200-000099000000}"/>
    <hyperlink ref="M159" r:id="rId155" xr:uid="{00000000-0004-0000-1200-00009A000000}"/>
    <hyperlink ref="M160" r:id="rId156" xr:uid="{00000000-0004-0000-1200-00009B000000}"/>
    <hyperlink ref="M161" r:id="rId157" xr:uid="{00000000-0004-0000-1200-00009C000000}"/>
    <hyperlink ref="M162" r:id="rId158" xr:uid="{00000000-0004-0000-1200-00009D000000}"/>
    <hyperlink ref="M163" r:id="rId159" xr:uid="{00000000-0004-0000-1200-00009E000000}"/>
    <hyperlink ref="M164" r:id="rId160" xr:uid="{00000000-0004-0000-1200-00009F000000}"/>
    <hyperlink ref="M165" r:id="rId161" xr:uid="{00000000-0004-0000-1200-0000A0000000}"/>
    <hyperlink ref="M166" r:id="rId162" xr:uid="{00000000-0004-0000-1200-0000A1000000}"/>
    <hyperlink ref="M167" r:id="rId163" xr:uid="{00000000-0004-0000-1200-0000A2000000}"/>
    <hyperlink ref="M168" r:id="rId164" xr:uid="{00000000-0004-0000-1200-0000A3000000}"/>
    <hyperlink ref="M169" r:id="rId165" xr:uid="{00000000-0004-0000-1200-0000A4000000}"/>
    <hyperlink ref="M170" r:id="rId166" xr:uid="{00000000-0004-0000-1200-0000A5000000}"/>
    <hyperlink ref="M171" r:id="rId167" xr:uid="{00000000-0004-0000-1200-0000A6000000}"/>
    <hyperlink ref="M172" r:id="rId168" xr:uid="{00000000-0004-0000-1200-0000A7000000}"/>
    <hyperlink ref="M173" r:id="rId169" xr:uid="{00000000-0004-0000-1200-0000A8000000}"/>
    <hyperlink ref="M174" r:id="rId170" xr:uid="{00000000-0004-0000-1200-0000A9000000}"/>
    <hyperlink ref="M175" r:id="rId171" xr:uid="{00000000-0004-0000-1200-0000AA000000}"/>
    <hyperlink ref="M176" r:id="rId172" xr:uid="{00000000-0004-0000-1200-0000AB000000}"/>
    <hyperlink ref="M177" r:id="rId173" xr:uid="{00000000-0004-0000-1200-0000AC000000}"/>
    <hyperlink ref="M178" r:id="rId174" xr:uid="{00000000-0004-0000-1200-0000AD000000}"/>
    <hyperlink ref="M179" r:id="rId175" xr:uid="{00000000-0004-0000-1200-0000AE000000}"/>
    <hyperlink ref="M180" r:id="rId176" xr:uid="{00000000-0004-0000-1200-0000AF000000}"/>
    <hyperlink ref="M181" r:id="rId177" xr:uid="{00000000-0004-0000-1200-0000B0000000}"/>
    <hyperlink ref="M182" r:id="rId178" xr:uid="{00000000-0004-0000-1200-0000B1000000}"/>
    <hyperlink ref="M183" r:id="rId179" xr:uid="{00000000-0004-0000-1200-0000B2000000}"/>
    <hyperlink ref="M184" r:id="rId180" xr:uid="{00000000-0004-0000-1200-0000B3000000}"/>
    <hyperlink ref="M185" r:id="rId181" xr:uid="{00000000-0004-0000-1200-0000B4000000}"/>
    <hyperlink ref="M186" r:id="rId182" xr:uid="{00000000-0004-0000-1200-0000B5000000}"/>
    <hyperlink ref="M187" r:id="rId183" xr:uid="{00000000-0004-0000-1200-0000B6000000}"/>
    <hyperlink ref="M188" r:id="rId184" xr:uid="{00000000-0004-0000-1200-0000B7000000}"/>
    <hyperlink ref="M189" r:id="rId185" xr:uid="{00000000-0004-0000-1200-0000B8000000}"/>
    <hyperlink ref="M190" r:id="rId186" xr:uid="{00000000-0004-0000-1200-0000B9000000}"/>
    <hyperlink ref="M191" r:id="rId187" xr:uid="{00000000-0004-0000-1200-0000BA000000}"/>
    <hyperlink ref="M192" r:id="rId188" xr:uid="{00000000-0004-0000-1200-0000BB000000}"/>
    <hyperlink ref="M193" r:id="rId189" xr:uid="{00000000-0004-0000-1200-0000BC000000}"/>
    <hyperlink ref="M194" r:id="rId190" xr:uid="{00000000-0004-0000-1200-0000BD000000}"/>
    <hyperlink ref="M195" r:id="rId191" xr:uid="{00000000-0004-0000-1200-0000BE000000}"/>
    <hyperlink ref="M196" r:id="rId192" xr:uid="{00000000-0004-0000-1200-0000BF000000}"/>
    <hyperlink ref="M197" r:id="rId193" xr:uid="{00000000-0004-0000-1200-0000C0000000}"/>
    <hyperlink ref="M198" r:id="rId194" xr:uid="{00000000-0004-0000-1200-0000C1000000}"/>
    <hyperlink ref="M199" r:id="rId195" xr:uid="{00000000-0004-0000-1200-0000C2000000}"/>
    <hyperlink ref="M200" r:id="rId196" xr:uid="{00000000-0004-0000-1200-0000C3000000}"/>
    <hyperlink ref="M201" r:id="rId197" xr:uid="{00000000-0004-0000-1200-0000C4000000}"/>
    <hyperlink ref="M202" r:id="rId198" xr:uid="{00000000-0004-0000-1200-0000C5000000}"/>
    <hyperlink ref="M203" r:id="rId199" xr:uid="{00000000-0004-0000-1200-0000C6000000}"/>
    <hyperlink ref="M204" r:id="rId200" xr:uid="{00000000-0004-0000-1200-0000C7000000}"/>
    <hyperlink ref="M205" r:id="rId201" xr:uid="{00000000-0004-0000-1200-0000C8000000}"/>
    <hyperlink ref="M206" r:id="rId202" xr:uid="{00000000-0004-0000-1200-0000C9000000}"/>
    <hyperlink ref="M207" r:id="rId203" xr:uid="{00000000-0004-0000-1200-0000CA000000}"/>
    <hyperlink ref="M208" r:id="rId204" xr:uid="{00000000-0004-0000-1200-0000CB000000}"/>
    <hyperlink ref="M209" r:id="rId205" xr:uid="{00000000-0004-0000-1200-0000CC000000}"/>
    <hyperlink ref="M210" r:id="rId206" xr:uid="{00000000-0004-0000-1200-0000CD000000}"/>
    <hyperlink ref="M211" r:id="rId207" xr:uid="{00000000-0004-0000-1200-0000CE000000}"/>
    <hyperlink ref="M212" r:id="rId208" xr:uid="{00000000-0004-0000-1200-0000CF000000}"/>
    <hyperlink ref="M213" r:id="rId209" xr:uid="{00000000-0004-0000-1200-0000D0000000}"/>
    <hyperlink ref="M214" r:id="rId210" xr:uid="{00000000-0004-0000-1200-0000D1000000}"/>
    <hyperlink ref="M215" r:id="rId211" xr:uid="{00000000-0004-0000-1200-0000D2000000}"/>
    <hyperlink ref="M216" r:id="rId212" xr:uid="{00000000-0004-0000-1200-0000D3000000}"/>
    <hyperlink ref="M217" r:id="rId213" xr:uid="{00000000-0004-0000-1200-0000D4000000}"/>
    <hyperlink ref="M218" r:id="rId214" xr:uid="{00000000-0004-0000-1200-0000D5000000}"/>
    <hyperlink ref="M219" r:id="rId215" xr:uid="{00000000-0004-0000-1200-0000D6000000}"/>
    <hyperlink ref="M220" r:id="rId216" xr:uid="{00000000-0004-0000-1200-0000D7000000}"/>
    <hyperlink ref="M221" r:id="rId217" xr:uid="{00000000-0004-0000-1200-0000D8000000}"/>
    <hyperlink ref="M222" r:id="rId218" xr:uid="{00000000-0004-0000-1200-0000D9000000}"/>
    <hyperlink ref="M223" r:id="rId219" xr:uid="{00000000-0004-0000-1200-0000DA000000}"/>
    <hyperlink ref="M224" r:id="rId220" xr:uid="{00000000-0004-0000-1200-0000DB000000}"/>
    <hyperlink ref="M225" r:id="rId221" xr:uid="{00000000-0004-0000-1200-0000DC000000}"/>
    <hyperlink ref="M226" r:id="rId222" xr:uid="{00000000-0004-0000-1200-0000DD000000}"/>
    <hyperlink ref="M227" r:id="rId223" xr:uid="{00000000-0004-0000-1200-0000DE000000}"/>
    <hyperlink ref="M228" r:id="rId224" xr:uid="{00000000-0004-0000-1200-0000DF000000}"/>
    <hyperlink ref="M229" r:id="rId225" xr:uid="{00000000-0004-0000-1200-0000E0000000}"/>
    <hyperlink ref="M230" r:id="rId226" xr:uid="{00000000-0004-0000-1200-0000E1000000}"/>
    <hyperlink ref="M231" r:id="rId227" xr:uid="{00000000-0004-0000-1200-0000E2000000}"/>
    <hyperlink ref="M232" r:id="rId228" xr:uid="{00000000-0004-0000-1200-0000E3000000}"/>
    <hyperlink ref="M233" r:id="rId229" xr:uid="{00000000-0004-0000-1200-0000E4000000}"/>
    <hyperlink ref="M234" r:id="rId230" xr:uid="{00000000-0004-0000-1200-0000E5000000}"/>
    <hyperlink ref="M235" r:id="rId231" xr:uid="{00000000-0004-0000-1200-0000E6000000}"/>
    <hyperlink ref="M236" r:id="rId232" xr:uid="{00000000-0004-0000-1200-0000E7000000}"/>
    <hyperlink ref="M237" r:id="rId233" xr:uid="{00000000-0004-0000-1200-0000E8000000}"/>
    <hyperlink ref="M238" r:id="rId234" xr:uid="{00000000-0004-0000-1200-0000E9000000}"/>
    <hyperlink ref="M239" r:id="rId235" xr:uid="{00000000-0004-0000-1200-0000EA000000}"/>
    <hyperlink ref="M240" r:id="rId236" xr:uid="{00000000-0004-0000-1200-0000EB000000}"/>
    <hyperlink ref="M241" r:id="rId237" xr:uid="{00000000-0004-0000-1200-0000EC000000}"/>
    <hyperlink ref="M242" r:id="rId238" xr:uid="{00000000-0004-0000-1200-0000ED000000}"/>
    <hyperlink ref="M243" r:id="rId239" xr:uid="{00000000-0004-0000-1200-0000EE000000}"/>
    <hyperlink ref="M244" r:id="rId240" xr:uid="{00000000-0004-0000-1200-0000EF000000}"/>
    <hyperlink ref="M245" r:id="rId241" xr:uid="{00000000-0004-0000-1200-0000F0000000}"/>
    <hyperlink ref="M246" r:id="rId242" xr:uid="{00000000-0004-0000-1200-0000F1000000}"/>
    <hyperlink ref="M247" r:id="rId243" xr:uid="{00000000-0004-0000-1200-0000F2000000}"/>
    <hyperlink ref="M248" r:id="rId244" xr:uid="{00000000-0004-0000-1200-0000F3000000}"/>
    <hyperlink ref="M249" r:id="rId245" xr:uid="{00000000-0004-0000-1200-0000F4000000}"/>
    <hyperlink ref="M250" r:id="rId246" xr:uid="{00000000-0004-0000-1200-0000F5000000}"/>
    <hyperlink ref="M251" r:id="rId247" xr:uid="{00000000-0004-0000-1200-0000F6000000}"/>
    <hyperlink ref="M252" r:id="rId248" xr:uid="{00000000-0004-0000-1200-0000F7000000}"/>
    <hyperlink ref="M253" r:id="rId249" xr:uid="{00000000-0004-0000-1200-0000F8000000}"/>
    <hyperlink ref="M254" r:id="rId250" xr:uid="{00000000-0004-0000-1200-0000F9000000}"/>
    <hyperlink ref="M255" r:id="rId251" xr:uid="{00000000-0004-0000-1200-0000FA000000}"/>
    <hyperlink ref="M256" r:id="rId252" xr:uid="{00000000-0004-0000-1200-0000FB000000}"/>
    <hyperlink ref="M257" r:id="rId253" xr:uid="{00000000-0004-0000-1200-0000FC000000}"/>
    <hyperlink ref="M258" r:id="rId254" xr:uid="{00000000-0004-0000-1200-0000FD000000}"/>
    <hyperlink ref="M259" r:id="rId255" xr:uid="{00000000-0004-0000-1200-0000FE000000}"/>
    <hyperlink ref="M260" r:id="rId256" xr:uid="{00000000-0004-0000-1200-0000FF000000}"/>
    <hyperlink ref="M261" r:id="rId257" xr:uid="{00000000-0004-0000-1200-000000010000}"/>
    <hyperlink ref="M262" r:id="rId258" xr:uid="{00000000-0004-0000-1200-000001010000}"/>
    <hyperlink ref="M263" r:id="rId259" xr:uid="{00000000-0004-0000-1200-000002010000}"/>
    <hyperlink ref="M264" r:id="rId260" xr:uid="{00000000-0004-0000-1200-000003010000}"/>
    <hyperlink ref="M265" r:id="rId261" xr:uid="{00000000-0004-0000-1200-000004010000}"/>
    <hyperlink ref="M266" r:id="rId262" xr:uid="{00000000-0004-0000-1200-000005010000}"/>
    <hyperlink ref="M267" r:id="rId263" xr:uid="{00000000-0004-0000-1200-000006010000}"/>
    <hyperlink ref="M268" r:id="rId264" xr:uid="{00000000-0004-0000-1200-000007010000}"/>
    <hyperlink ref="M269" r:id="rId265" xr:uid="{00000000-0004-0000-1200-000008010000}"/>
    <hyperlink ref="M270" r:id="rId266" xr:uid="{00000000-0004-0000-1200-000009010000}"/>
    <hyperlink ref="M271" r:id="rId267" xr:uid="{00000000-0004-0000-1200-00000A010000}"/>
    <hyperlink ref="M272" r:id="rId268" xr:uid="{00000000-0004-0000-1200-00000B010000}"/>
    <hyperlink ref="M273" r:id="rId269" xr:uid="{00000000-0004-0000-1200-00000C010000}"/>
    <hyperlink ref="M274" r:id="rId270" xr:uid="{00000000-0004-0000-1200-00000D010000}"/>
    <hyperlink ref="M275" r:id="rId271" xr:uid="{00000000-0004-0000-1200-00000E010000}"/>
    <hyperlink ref="M276" r:id="rId272" xr:uid="{00000000-0004-0000-1200-00000F010000}"/>
    <hyperlink ref="M277" r:id="rId273" xr:uid="{00000000-0004-0000-1200-000010010000}"/>
    <hyperlink ref="M278" r:id="rId274" xr:uid="{00000000-0004-0000-1200-000011010000}"/>
    <hyperlink ref="M279" r:id="rId275" xr:uid="{00000000-0004-0000-1200-000012010000}"/>
    <hyperlink ref="M280" r:id="rId276" xr:uid="{00000000-0004-0000-1200-000013010000}"/>
    <hyperlink ref="M281" r:id="rId277" xr:uid="{00000000-0004-0000-1200-000014010000}"/>
    <hyperlink ref="M282" r:id="rId278" xr:uid="{00000000-0004-0000-1200-000015010000}"/>
    <hyperlink ref="M283" r:id="rId279" xr:uid="{00000000-0004-0000-1200-000016010000}"/>
    <hyperlink ref="M284" r:id="rId280" xr:uid="{00000000-0004-0000-1200-000017010000}"/>
    <hyperlink ref="M285" r:id="rId281" xr:uid="{00000000-0004-0000-1200-000018010000}"/>
    <hyperlink ref="M286" r:id="rId282" xr:uid="{00000000-0004-0000-1200-000019010000}"/>
    <hyperlink ref="M287" r:id="rId283" xr:uid="{00000000-0004-0000-1200-00001A010000}"/>
    <hyperlink ref="M288" r:id="rId284" xr:uid="{00000000-0004-0000-1200-00001B010000}"/>
    <hyperlink ref="M289" r:id="rId285" xr:uid="{00000000-0004-0000-1200-00001C010000}"/>
    <hyperlink ref="M290" r:id="rId286" xr:uid="{00000000-0004-0000-1200-00001D010000}"/>
    <hyperlink ref="M291" r:id="rId287" xr:uid="{00000000-0004-0000-1200-00001E010000}"/>
    <hyperlink ref="M292" r:id="rId288" xr:uid="{00000000-0004-0000-1200-00001F010000}"/>
    <hyperlink ref="M293" r:id="rId289" xr:uid="{00000000-0004-0000-1200-000020010000}"/>
    <hyperlink ref="M294" r:id="rId290" xr:uid="{00000000-0004-0000-1200-000021010000}"/>
    <hyperlink ref="M295" r:id="rId291" xr:uid="{00000000-0004-0000-1200-000022010000}"/>
    <hyperlink ref="M296" r:id="rId292" xr:uid="{00000000-0004-0000-1200-000023010000}"/>
    <hyperlink ref="M297" r:id="rId293" xr:uid="{00000000-0004-0000-1200-000024010000}"/>
    <hyperlink ref="M298" r:id="rId294" xr:uid="{00000000-0004-0000-1200-000025010000}"/>
    <hyperlink ref="M299" r:id="rId295" xr:uid="{00000000-0004-0000-1200-000026010000}"/>
    <hyperlink ref="M300" r:id="rId296" xr:uid="{00000000-0004-0000-1200-000027010000}"/>
    <hyperlink ref="M301" r:id="rId297" xr:uid="{00000000-0004-0000-1200-000028010000}"/>
    <hyperlink ref="M302" r:id="rId298" xr:uid="{00000000-0004-0000-1200-000029010000}"/>
    <hyperlink ref="M303" r:id="rId299" xr:uid="{00000000-0004-0000-1200-00002A010000}"/>
    <hyperlink ref="M304" r:id="rId300" xr:uid="{00000000-0004-0000-1200-00002B010000}"/>
    <hyperlink ref="M305" r:id="rId301" xr:uid="{00000000-0004-0000-1200-00002C010000}"/>
    <hyperlink ref="M306" r:id="rId302" xr:uid="{00000000-0004-0000-1200-00002D010000}"/>
    <hyperlink ref="M307" r:id="rId303" xr:uid="{00000000-0004-0000-1200-00002E010000}"/>
    <hyperlink ref="M308" r:id="rId304" xr:uid="{00000000-0004-0000-1200-00002F010000}"/>
    <hyperlink ref="M309" r:id="rId305" xr:uid="{00000000-0004-0000-1200-000030010000}"/>
    <hyperlink ref="M310" r:id="rId306" xr:uid="{00000000-0004-0000-1200-000031010000}"/>
    <hyperlink ref="M311" r:id="rId307" xr:uid="{00000000-0004-0000-1200-000032010000}"/>
    <hyperlink ref="M312" r:id="rId308" xr:uid="{00000000-0004-0000-1200-000033010000}"/>
    <hyperlink ref="M313" r:id="rId309" xr:uid="{00000000-0004-0000-1200-000034010000}"/>
    <hyperlink ref="M314" r:id="rId310" xr:uid="{00000000-0004-0000-1200-000035010000}"/>
    <hyperlink ref="M315" r:id="rId311" xr:uid="{00000000-0004-0000-1200-000036010000}"/>
    <hyperlink ref="M316" r:id="rId312" xr:uid="{00000000-0004-0000-1200-000037010000}"/>
    <hyperlink ref="M317" r:id="rId313" xr:uid="{00000000-0004-0000-1200-000038010000}"/>
    <hyperlink ref="M318" r:id="rId314" xr:uid="{00000000-0004-0000-1200-000039010000}"/>
    <hyperlink ref="M319" r:id="rId315" xr:uid="{00000000-0004-0000-1200-00003A010000}"/>
    <hyperlink ref="M320" r:id="rId316" xr:uid="{00000000-0004-0000-1200-00003B010000}"/>
    <hyperlink ref="M321" r:id="rId317" xr:uid="{00000000-0004-0000-1200-00003C010000}"/>
    <hyperlink ref="M322" r:id="rId318" xr:uid="{00000000-0004-0000-1200-00003D010000}"/>
    <hyperlink ref="M323" r:id="rId319" xr:uid="{00000000-0004-0000-1200-00003E010000}"/>
    <hyperlink ref="M324" r:id="rId320" xr:uid="{00000000-0004-0000-1200-00003F010000}"/>
    <hyperlink ref="M325" r:id="rId321" xr:uid="{00000000-0004-0000-1200-000040010000}"/>
    <hyperlink ref="M326" r:id="rId322" xr:uid="{00000000-0004-0000-1200-000041010000}"/>
    <hyperlink ref="M327" r:id="rId323" xr:uid="{00000000-0004-0000-1200-000042010000}"/>
    <hyperlink ref="M328" r:id="rId324" xr:uid="{00000000-0004-0000-1200-000043010000}"/>
    <hyperlink ref="M329" r:id="rId325" xr:uid="{00000000-0004-0000-1200-000044010000}"/>
    <hyperlink ref="M330" r:id="rId326" xr:uid="{00000000-0004-0000-1200-000045010000}"/>
    <hyperlink ref="M331" r:id="rId327" xr:uid="{00000000-0004-0000-1200-000046010000}"/>
    <hyperlink ref="M332" r:id="rId328" xr:uid="{00000000-0004-0000-1200-000047010000}"/>
    <hyperlink ref="M333" r:id="rId329" xr:uid="{00000000-0004-0000-1200-000048010000}"/>
    <hyperlink ref="M334" r:id="rId330" xr:uid="{00000000-0004-0000-1200-000049010000}"/>
    <hyperlink ref="M335" r:id="rId331" xr:uid="{00000000-0004-0000-1200-00004A010000}"/>
    <hyperlink ref="M336" r:id="rId332" xr:uid="{00000000-0004-0000-1200-00004B010000}"/>
    <hyperlink ref="M337" r:id="rId333" xr:uid="{00000000-0004-0000-1200-00004C010000}"/>
    <hyperlink ref="M338" r:id="rId334" xr:uid="{00000000-0004-0000-1200-00004D010000}"/>
    <hyperlink ref="M339" r:id="rId335" xr:uid="{00000000-0004-0000-1200-00004E010000}"/>
    <hyperlink ref="M340" r:id="rId336" xr:uid="{00000000-0004-0000-1200-00004F010000}"/>
    <hyperlink ref="M341" r:id="rId337" xr:uid="{00000000-0004-0000-1200-000050010000}"/>
    <hyperlink ref="M342" r:id="rId338" xr:uid="{00000000-0004-0000-1200-000051010000}"/>
    <hyperlink ref="M343" r:id="rId339" xr:uid="{00000000-0004-0000-1200-000052010000}"/>
    <hyperlink ref="M344" r:id="rId340" xr:uid="{00000000-0004-0000-1200-000053010000}"/>
    <hyperlink ref="M345" r:id="rId341" xr:uid="{00000000-0004-0000-1200-000054010000}"/>
    <hyperlink ref="M346" r:id="rId342" xr:uid="{00000000-0004-0000-1200-000055010000}"/>
    <hyperlink ref="M347" r:id="rId343" xr:uid="{00000000-0004-0000-1200-000056010000}"/>
    <hyperlink ref="M348" r:id="rId344" xr:uid="{00000000-0004-0000-1200-000057010000}"/>
    <hyperlink ref="M349" r:id="rId345" xr:uid="{00000000-0004-0000-1200-000058010000}"/>
    <hyperlink ref="M350" r:id="rId346" xr:uid="{00000000-0004-0000-1200-000059010000}"/>
    <hyperlink ref="M351" r:id="rId347" xr:uid="{00000000-0004-0000-1200-00005A010000}"/>
    <hyperlink ref="M352" r:id="rId348" xr:uid="{00000000-0004-0000-1200-00005B010000}"/>
    <hyperlink ref="M353" r:id="rId349" xr:uid="{00000000-0004-0000-1200-00005C010000}"/>
    <hyperlink ref="M354" r:id="rId350" xr:uid="{00000000-0004-0000-1200-00005D010000}"/>
    <hyperlink ref="M355" r:id="rId351" xr:uid="{00000000-0004-0000-1200-00005E010000}"/>
    <hyperlink ref="M356" r:id="rId352" xr:uid="{00000000-0004-0000-1200-00005F010000}"/>
    <hyperlink ref="M357" r:id="rId353" xr:uid="{00000000-0004-0000-1200-000060010000}"/>
    <hyperlink ref="M358" r:id="rId354" xr:uid="{00000000-0004-0000-1200-000061010000}"/>
    <hyperlink ref="M359" r:id="rId355" xr:uid="{00000000-0004-0000-1200-000062010000}"/>
    <hyperlink ref="M360" r:id="rId356" xr:uid="{00000000-0004-0000-1200-000063010000}"/>
    <hyperlink ref="M361" r:id="rId357" xr:uid="{00000000-0004-0000-1200-000064010000}"/>
    <hyperlink ref="M362" r:id="rId358" xr:uid="{00000000-0004-0000-1200-000065010000}"/>
    <hyperlink ref="M363" r:id="rId359" xr:uid="{00000000-0004-0000-1200-000066010000}"/>
    <hyperlink ref="M364" r:id="rId360" xr:uid="{00000000-0004-0000-1200-000067010000}"/>
    <hyperlink ref="M365" r:id="rId361" xr:uid="{00000000-0004-0000-1200-000068010000}"/>
    <hyperlink ref="M366" r:id="rId362" xr:uid="{00000000-0004-0000-1200-000069010000}"/>
    <hyperlink ref="M367" r:id="rId363" xr:uid="{00000000-0004-0000-1200-00006A010000}"/>
    <hyperlink ref="M368" r:id="rId364" xr:uid="{00000000-0004-0000-1200-00006B010000}"/>
    <hyperlink ref="M369" r:id="rId365" xr:uid="{00000000-0004-0000-1200-00006C010000}"/>
    <hyperlink ref="M370" r:id="rId366" xr:uid="{00000000-0004-0000-1200-00006D010000}"/>
    <hyperlink ref="M371" r:id="rId367" xr:uid="{00000000-0004-0000-1200-00006E010000}"/>
    <hyperlink ref="M372" r:id="rId368" xr:uid="{00000000-0004-0000-1200-00006F010000}"/>
    <hyperlink ref="M373" r:id="rId369" xr:uid="{00000000-0004-0000-1200-000070010000}"/>
    <hyperlink ref="M374" r:id="rId370" xr:uid="{00000000-0004-0000-1200-000071010000}"/>
    <hyperlink ref="M375" r:id="rId371" xr:uid="{00000000-0004-0000-1200-000072010000}"/>
    <hyperlink ref="M376" r:id="rId372" xr:uid="{00000000-0004-0000-1200-000073010000}"/>
    <hyperlink ref="M377" r:id="rId373" xr:uid="{00000000-0004-0000-1200-000074010000}"/>
    <hyperlink ref="M378" r:id="rId374" xr:uid="{00000000-0004-0000-1200-000075010000}"/>
    <hyperlink ref="M379" r:id="rId375" xr:uid="{00000000-0004-0000-1200-000076010000}"/>
    <hyperlink ref="M380" r:id="rId376" xr:uid="{00000000-0004-0000-1200-000077010000}"/>
    <hyperlink ref="M381" r:id="rId377" xr:uid="{00000000-0004-0000-1200-000078010000}"/>
    <hyperlink ref="M382" r:id="rId378" xr:uid="{00000000-0004-0000-1200-000079010000}"/>
    <hyperlink ref="M383" r:id="rId379" xr:uid="{00000000-0004-0000-1200-00007A010000}"/>
    <hyperlink ref="M384" r:id="rId380" xr:uid="{00000000-0004-0000-1200-00007B010000}"/>
    <hyperlink ref="M385" r:id="rId381" xr:uid="{00000000-0004-0000-1200-00007C010000}"/>
    <hyperlink ref="M386" r:id="rId382" xr:uid="{00000000-0004-0000-1200-00007D010000}"/>
    <hyperlink ref="M387" r:id="rId383" xr:uid="{00000000-0004-0000-1200-00007E010000}"/>
    <hyperlink ref="M388" r:id="rId384" xr:uid="{00000000-0004-0000-1200-00007F010000}"/>
    <hyperlink ref="M389" r:id="rId385" xr:uid="{00000000-0004-0000-1200-000080010000}"/>
    <hyperlink ref="M390" r:id="rId386" xr:uid="{00000000-0004-0000-1200-000081010000}"/>
    <hyperlink ref="M391" r:id="rId387" xr:uid="{00000000-0004-0000-1200-000082010000}"/>
    <hyperlink ref="M392" r:id="rId388" xr:uid="{00000000-0004-0000-1200-000083010000}"/>
    <hyperlink ref="M393" r:id="rId389" xr:uid="{00000000-0004-0000-1200-000084010000}"/>
    <hyperlink ref="M394" r:id="rId390" xr:uid="{00000000-0004-0000-1200-000085010000}"/>
    <hyperlink ref="M395" r:id="rId391" xr:uid="{00000000-0004-0000-1200-000086010000}"/>
    <hyperlink ref="M396" r:id="rId392" xr:uid="{00000000-0004-0000-1200-000087010000}"/>
    <hyperlink ref="M397" r:id="rId393" xr:uid="{00000000-0004-0000-1200-000088010000}"/>
    <hyperlink ref="M398" r:id="rId394" xr:uid="{00000000-0004-0000-1200-000089010000}"/>
    <hyperlink ref="M399" r:id="rId395" xr:uid="{00000000-0004-0000-1200-00008A010000}"/>
    <hyperlink ref="M400" r:id="rId396" xr:uid="{00000000-0004-0000-1200-00008B010000}"/>
    <hyperlink ref="M401" r:id="rId397" xr:uid="{00000000-0004-0000-1200-00008C010000}"/>
    <hyperlink ref="M402" r:id="rId398" xr:uid="{00000000-0004-0000-1200-00008D010000}"/>
    <hyperlink ref="M403" r:id="rId399" xr:uid="{00000000-0004-0000-1200-00008E010000}"/>
    <hyperlink ref="M404" r:id="rId400" xr:uid="{00000000-0004-0000-1200-00008F010000}"/>
    <hyperlink ref="M405" r:id="rId401" xr:uid="{00000000-0004-0000-1200-000090010000}"/>
    <hyperlink ref="M406" r:id="rId402" xr:uid="{00000000-0004-0000-1200-000091010000}"/>
    <hyperlink ref="M407" r:id="rId403" xr:uid="{00000000-0004-0000-1200-000092010000}"/>
    <hyperlink ref="M408" r:id="rId404" xr:uid="{00000000-0004-0000-1200-000093010000}"/>
    <hyperlink ref="M409" r:id="rId405" xr:uid="{00000000-0004-0000-1200-000094010000}"/>
    <hyperlink ref="M410" r:id="rId406" xr:uid="{00000000-0004-0000-1200-000095010000}"/>
    <hyperlink ref="M411" r:id="rId407" xr:uid="{00000000-0004-0000-1200-000096010000}"/>
    <hyperlink ref="M412" r:id="rId408" xr:uid="{00000000-0004-0000-1200-000097010000}"/>
    <hyperlink ref="M413" r:id="rId409" xr:uid="{00000000-0004-0000-1200-000098010000}"/>
    <hyperlink ref="M414" r:id="rId410" xr:uid="{00000000-0004-0000-1200-000099010000}"/>
    <hyperlink ref="M415" r:id="rId411" xr:uid="{00000000-0004-0000-1200-00009A010000}"/>
    <hyperlink ref="M416" r:id="rId412" xr:uid="{00000000-0004-0000-1200-00009B010000}"/>
    <hyperlink ref="M417" r:id="rId413" xr:uid="{00000000-0004-0000-1200-00009C010000}"/>
    <hyperlink ref="M418" r:id="rId414" xr:uid="{00000000-0004-0000-1200-00009D010000}"/>
    <hyperlink ref="M419" r:id="rId415" xr:uid="{00000000-0004-0000-1200-00009E010000}"/>
    <hyperlink ref="M420" r:id="rId416" xr:uid="{00000000-0004-0000-1200-00009F010000}"/>
    <hyperlink ref="M421" r:id="rId417" xr:uid="{00000000-0004-0000-1200-0000A0010000}"/>
    <hyperlink ref="M422" r:id="rId418" xr:uid="{00000000-0004-0000-1200-0000A1010000}"/>
    <hyperlink ref="M423" r:id="rId419" xr:uid="{00000000-0004-0000-1200-0000A2010000}"/>
    <hyperlink ref="M424" r:id="rId420" xr:uid="{00000000-0004-0000-1200-0000A3010000}"/>
    <hyperlink ref="M425" r:id="rId421" xr:uid="{00000000-0004-0000-1200-0000A4010000}"/>
    <hyperlink ref="M426" r:id="rId422" xr:uid="{00000000-0004-0000-1200-0000A5010000}"/>
    <hyperlink ref="M427" r:id="rId423" xr:uid="{00000000-0004-0000-1200-0000A6010000}"/>
    <hyperlink ref="M428" r:id="rId424" xr:uid="{00000000-0004-0000-1200-0000A7010000}"/>
    <hyperlink ref="M429" r:id="rId425" xr:uid="{00000000-0004-0000-1200-0000A8010000}"/>
    <hyperlink ref="M430" r:id="rId426" xr:uid="{00000000-0004-0000-1200-0000A9010000}"/>
    <hyperlink ref="M431" r:id="rId427" xr:uid="{00000000-0004-0000-1200-0000AA010000}"/>
    <hyperlink ref="M432" r:id="rId428" xr:uid="{00000000-0004-0000-1200-0000AB010000}"/>
    <hyperlink ref="M433" r:id="rId429" xr:uid="{00000000-0004-0000-1200-0000AC010000}"/>
    <hyperlink ref="M434" r:id="rId430" xr:uid="{00000000-0004-0000-1200-0000AD010000}"/>
    <hyperlink ref="M435" r:id="rId431" xr:uid="{00000000-0004-0000-1200-0000AE010000}"/>
    <hyperlink ref="M436" r:id="rId432" xr:uid="{00000000-0004-0000-1200-0000AF010000}"/>
    <hyperlink ref="M437" r:id="rId433" xr:uid="{00000000-0004-0000-1200-0000B0010000}"/>
    <hyperlink ref="M438" r:id="rId434" xr:uid="{00000000-0004-0000-1200-0000B1010000}"/>
    <hyperlink ref="M439" r:id="rId435" xr:uid="{00000000-0004-0000-1200-0000B2010000}"/>
    <hyperlink ref="M440" r:id="rId436" xr:uid="{00000000-0004-0000-1200-0000B3010000}"/>
    <hyperlink ref="M441" r:id="rId437" xr:uid="{00000000-0004-0000-1200-0000B4010000}"/>
    <hyperlink ref="M442" r:id="rId438" xr:uid="{00000000-0004-0000-1200-0000B5010000}"/>
    <hyperlink ref="M443" r:id="rId439" xr:uid="{00000000-0004-0000-1200-0000B6010000}"/>
    <hyperlink ref="M444" r:id="rId440" xr:uid="{00000000-0004-0000-1200-0000B7010000}"/>
    <hyperlink ref="M445" r:id="rId441" xr:uid="{00000000-0004-0000-1200-0000B8010000}"/>
    <hyperlink ref="M446" r:id="rId442" xr:uid="{00000000-0004-0000-1200-0000B9010000}"/>
    <hyperlink ref="M447" r:id="rId443" xr:uid="{00000000-0004-0000-1200-0000BA010000}"/>
    <hyperlink ref="M448" r:id="rId444" xr:uid="{00000000-0004-0000-1200-0000BB010000}"/>
    <hyperlink ref="M449" r:id="rId445" xr:uid="{00000000-0004-0000-1200-0000BC010000}"/>
    <hyperlink ref="M450" r:id="rId446" xr:uid="{00000000-0004-0000-1200-0000BD010000}"/>
    <hyperlink ref="M451" r:id="rId447" xr:uid="{00000000-0004-0000-1200-0000BE010000}"/>
    <hyperlink ref="M452" r:id="rId448" xr:uid="{00000000-0004-0000-1200-0000BF010000}"/>
    <hyperlink ref="M453" r:id="rId449" xr:uid="{00000000-0004-0000-1200-0000C0010000}"/>
    <hyperlink ref="M454" r:id="rId450" xr:uid="{00000000-0004-0000-1200-0000C1010000}"/>
    <hyperlink ref="M455" r:id="rId451" xr:uid="{00000000-0004-0000-1200-0000C2010000}"/>
    <hyperlink ref="M456" r:id="rId452" xr:uid="{00000000-0004-0000-1200-0000C3010000}"/>
    <hyperlink ref="M457" r:id="rId453" xr:uid="{00000000-0004-0000-1200-0000C4010000}"/>
    <hyperlink ref="M458" r:id="rId454" xr:uid="{00000000-0004-0000-1200-0000C5010000}"/>
    <hyperlink ref="M459" r:id="rId455" xr:uid="{00000000-0004-0000-1200-0000C6010000}"/>
    <hyperlink ref="M460" r:id="rId456" xr:uid="{00000000-0004-0000-1200-0000C7010000}"/>
    <hyperlink ref="M461" r:id="rId457" xr:uid="{00000000-0004-0000-1200-0000C8010000}"/>
    <hyperlink ref="M462" r:id="rId458" xr:uid="{00000000-0004-0000-1200-0000C9010000}"/>
    <hyperlink ref="M463" r:id="rId459" xr:uid="{00000000-0004-0000-1200-0000CA010000}"/>
    <hyperlink ref="M464" r:id="rId460" xr:uid="{00000000-0004-0000-1200-0000CB010000}"/>
    <hyperlink ref="M465" r:id="rId461" xr:uid="{00000000-0004-0000-1200-0000CC010000}"/>
    <hyperlink ref="M466" r:id="rId462" xr:uid="{00000000-0004-0000-1200-0000CD010000}"/>
    <hyperlink ref="M467" r:id="rId463" xr:uid="{00000000-0004-0000-1200-0000CE010000}"/>
    <hyperlink ref="M468" r:id="rId464" xr:uid="{00000000-0004-0000-1200-0000CF010000}"/>
    <hyperlink ref="M469" r:id="rId465" xr:uid="{00000000-0004-0000-1200-0000D0010000}"/>
    <hyperlink ref="M470" r:id="rId466" xr:uid="{00000000-0004-0000-1200-0000D1010000}"/>
    <hyperlink ref="M471" r:id="rId467" xr:uid="{00000000-0004-0000-1200-0000D2010000}"/>
    <hyperlink ref="M472" r:id="rId468" xr:uid="{00000000-0004-0000-1200-0000D3010000}"/>
    <hyperlink ref="M473" r:id="rId469" xr:uid="{00000000-0004-0000-1200-0000D4010000}"/>
    <hyperlink ref="M474" r:id="rId470" xr:uid="{00000000-0004-0000-1200-0000D5010000}"/>
    <hyperlink ref="M475" r:id="rId471" xr:uid="{00000000-0004-0000-1200-0000D6010000}"/>
    <hyperlink ref="M476" r:id="rId472" xr:uid="{00000000-0004-0000-1200-0000D7010000}"/>
    <hyperlink ref="M477" r:id="rId473" xr:uid="{00000000-0004-0000-1200-0000D8010000}"/>
    <hyperlink ref="M478" r:id="rId474" xr:uid="{00000000-0004-0000-1200-0000D9010000}"/>
    <hyperlink ref="M479" r:id="rId475" xr:uid="{00000000-0004-0000-1200-0000DA010000}"/>
    <hyperlink ref="M480" r:id="rId476" xr:uid="{00000000-0004-0000-1200-0000DB010000}"/>
    <hyperlink ref="M481" r:id="rId477" xr:uid="{00000000-0004-0000-1200-0000DC010000}"/>
    <hyperlink ref="M482" r:id="rId478" xr:uid="{00000000-0004-0000-1200-0000DD010000}"/>
    <hyperlink ref="M483" r:id="rId479" xr:uid="{00000000-0004-0000-1200-0000DE010000}"/>
    <hyperlink ref="M484" r:id="rId480" xr:uid="{00000000-0004-0000-1200-0000DF010000}"/>
    <hyperlink ref="M485" r:id="rId481" xr:uid="{00000000-0004-0000-1200-0000E0010000}"/>
    <hyperlink ref="M486" r:id="rId482" xr:uid="{00000000-0004-0000-1200-0000E1010000}"/>
    <hyperlink ref="M487" r:id="rId483" xr:uid="{00000000-0004-0000-1200-0000E2010000}"/>
    <hyperlink ref="M488" r:id="rId484" xr:uid="{00000000-0004-0000-1200-0000E3010000}"/>
    <hyperlink ref="M489" r:id="rId485" xr:uid="{00000000-0004-0000-1200-0000E4010000}"/>
    <hyperlink ref="M490" r:id="rId486" xr:uid="{00000000-0004-0000-1200-0000E5010000}"/>
    <hyperlink ref="M491" r:id="rId487" xr:uid="{00000000-0004-0000-1200-0000E6010000}"/>
    <hyperlink ref="M492" r:id="rId488" xr:uid="{00000000-0004-0000-1200-0000E7010000}"/>
    <hyperlink ref="M493" r:id="rId489" xr:uid="{00000000-0004-0000-1200-0000E8010000}"/>
    <hyperlink ref="M494" r:id="rId490" xr:uid="{00000000-0004-0000-1200-0000E9010000}"/>
    <hyperlink ref="M495" r:id="rId491" xr:uid="{00000000-0004-0000-1200-0000EA010000}"/>
    <hyperlink ref="M496" r:id="rId492" xr:uid="{00000000-0004-0000-1200-0000EB010000}"/>
    <hyperlink ref="M497" r:id="rId493" xr:uid="{00000000-0004-0000-1200-0000EC010000}"/>
    <hyperlink ref="M498" r:id="rId494" xr:uid="{00000000-0004-0000-1200-0000ED010000}"/>
    <hyperlink ref="M499" r:id="rId495" xr:uid="{00000000-0004-0000-1200-0000EE010000}"/>
    <hyperlink ref="M500" r:id="rId496" xr:uid="{00000000-0004-0000-1200-0000EF010000}"/>
    <hyperlink ref="M501" r:id="rId497" xr:uid="{00000000-0004-0000-1200-0000F0010000}"/>
    <hyperlink ref="M502" r:id="rId498" xr:uid="{00000000-0004-0000-1200-0000F1010000}"/>
    <hyperlink ref="M503" r:id="rId499" xr:uid="{00000000-0004-0000-1200-0000F2010000}"/>
    <hyperlink ref="M504" r:id="rId500" xr:uid="{00000000-0004-0000-1200-0000F3010000}"/>
    <hyperlink ref="M505" r:id="rId501" xr:uid="{00000000-0004-0000-1200-0000F4010000}"/>
    <hyperlink ref="M506" r:id="rId502" xr:uid="{00000000-0004-0000-1200-0000F5010000}"/>
    <hyperlink ref="M507" r:id="rId503" xr:uid="{00000000-0004-0000-1200-0000F6010000}"/>
    <hyperlink ref="M508" r:id="rId504" xr:uid="{00000000-0004-0000-1200-0000F7010000}"/>
    <hyperlink ref="M509" r:id="rId505" xr:uid="{00000000-0004-0000-1200-0000F8010000}"/>
    <hyperlink ref="M510" r:id="rId506" xr:uid="{00000000-0004-0000-1200-0000F9010000}"/>
    <hyperlink ref="M511" r:id="rId507" xr:uid="{00000000-0004-0000-1200-0000FA010000}"/>
    <hyperlink ref="M512" r:id="rId508" xr:uid="{00000000-0004-0000-1200-0000FB010000}"/>
    <hyperlink ref="M513" r:id="rId509" xr:uid="{00000000-0004-0000-1200-0000FC010000}"/>
    <hyperlink ref="M514" r:id="rId510" xr:uid="{00000000-0004-0000-1200-0000FD010000}"/>
    <hyperlink ref="M515" r:id="rId511" xr:uid="{00000000-0004-0000-1200-0000FE010000}"/>
    <hyperlink ref="M516" r:id="rId512" xr:uid="{00000000-0004-0000-1200-0000FF010000}"/>
    <hyperlink ref="M517" r:id="rId513" xr:uid="{00000000-0004-0000-1200-000000020000}"/>
    <hyperlink ref="M518" r:id="rId514" xr:uid="{00000000-0004-0000-1200-000001020000}"/>
    <hyperlink ref="M519" r:id="rId515" xr:uid="{00000000-0004-0000-1200-000002020000}"/>
    <hyperlink ref="M520" r:id="rId516" xr:uid="{00000000-0004-0000-1200-000003020000}"/>
    <hyperlink ref="M521" r:id="rId517" xr:uid="{00000000-0004-0000-1200-000004020000}"/>
    <hyperlink ref="M522" r:id="rId518" xr:uid="{00000000-0004-0000-1200-000005020000}"/>
    <hyperlink ref="M523" r:id="rId519" xr:uid="{00000000-0004-0000-1200-000006020000}"/>
    <hyperlink ref="M524" r:id="rId520" xr:uid="{00000000-0004-0000-1200-000007020000}"/>
    <hyperlink ref="M525" r:id="rId521" xr:uid="{00000000-0004-0000-1200-000008020000}"/>
    <hyperlink ref="M526" r:id="rId522" xr:uid="{00000000-0004-0000-1200-000009020000}"/>
    <hyperlink ref="M527" r:id="rId523" xr:uid="{00000000-0004-0000-1200-00000A020000}"/>
    <hyperlink ref="M528" r:id="rId524" xr:uid="{00000000-0004-0000-1200-00000B020000}"/>
    <hyperlink ref="M529" r:id="rId525" xr:uid="{00000000-0004-0000-1200-00000C020000}"/>
    <hyperlink ref="M530" r:id="rId526" xr:uid="{00000000-0004-0000-1200-00000D020000}"/>
    <hyperlink ref="M531" r:id="rId527" xr:uid="{00000000-0004-0000-1200-00000E020000}"/>
    <hyperlink ref="M532" r:id="rId528" xr:uid="{00000000-0004-0000-1200-00000F020000}"/>
    <hyperlink ref="M533" r:id="rId529" xr:uid="{00000000-0004-0000-1200-000010020000}"/>
    <hyperlink ref="M534" r:id="rId530" xr:uid="{00000000-0004-0000-1200-000011020000}"/>
    <hyperlink ref="M535" r:id="rId531" xr:uid="{00000000-0004-0000-1200-000012020000}"/>
    <hyperlink ref="M536" r:id="rId532" xr:uid="{00000000-0004-0000-1200-000013020000}"/>
    <hyperlink ref="M537" r:id="rId533" xr:uid="{00000000-0004-0000-1200-000014020000}"/>
    <hyperlink ref="M538" r:id="rId534" xr:uid="{00000000-0004-0000-1200-000015020000}"/>
    <hyperlink ref="M539" r:id="rId535" xr:uid="{00000000-0004-0000-1200-000016020000}"/>
    <hyperlink ref="M540" r:id="rId536" xr:uid="{00000000-0004-0000-1200-000017020000}"/>
    <hyperlink ref="M541" r:id="rId537" xr:uid="{00000000-0004-0000-1200-000018020000}"/>
    <hyperlink ref="M542" r:id="rId538" xr:uid="{00000000-0004-0000-1200-000019020000}"/>
    <hyperlink ref="M543" r:id="rId539" xr:uid="{00000000-0004-0000-1200-00001A020000}"/>
    <hyperlink ref="M544" r:id="rId540" xr:uid="{00000000-0004-0000-1200-00001B020000}"/>
    <hyperlink ref="M545" r:id="rId541" xr:uid="{00000000-0004-0000-1200-00001C020000}"/>
    <hyperlink ref="M546" r:id="rId542" xr:uid="{00000000-0004-0000-1200-00001D020000}"/>
    <hyperlink ref="M547" r:id="rId543" xr:uid="{00000000-0004-0000-1200-00001E020000}"/>
    <hyperlink ref="M548" r:id="rId544" xr:uid="{00000000-0004-0000-1200-00001F020000}"/>
    <hyperlink ref="M549" r:id="rId545" xr:uid="{00000000-0004-0000-1200-000020020000}"/>
    <hyperlink ref="M550" r:id="rId546" xr:uid="{00000000-0004-0000-1200-000021020000}"/>
    <hyperlink ref="M551" r:id="rId547" xr:uid="{00000000-0004-0000-1200-000022020000}"/>
    <hyperlink ref="M552" r:id="rId548" xr:uid="{00000000-0004-0000-1200-000023020000}"/>
    <hyperlink ref="M553" r:id="rId549" xr:uid="{00000000-0004-0000-1200-000024020000}"/>
    <hyperlink ref="M554" r:id="rId550" xr:uid="{00000000-0004-0000-1200-000025020000}"/>
    <hyperlink ref="M555" r:id="rId551" xr:uid="{00000000-0004-0000-1200-000026020000}"/>
    <hyperlink ref="M556" r:id="rId552" xr:uid="{00000000-0004-0000-1200-000027020000}"/>
    <hyperlink ref="M557" r:id="rId553" xr:uid="{00000000-0004-0000-1200-000028020000}"/>
    <hyperlink ref="M558" r:id="rId554" xr:uid="{00000000-0004-0000-1200-000029020000}"/>
    <hyperlink ref="M559" r:id="rId555" xr:uid="{00000000-0004-0000-1200-00002A020000}"/>
    <hyperlink ref="M560" r:id="rId556" xr:uid="{00000000-0004-0000-1200-00002B020000}"/>
    <hyperlink ref="M561" r:id="rId557" xr:uid="{00000000-0004-0000-1200-00002C020000}"/>
    <hyperlink ref="M562" r:id="rId558" xr:uid="{00000000-0004-0000-1200-00002D020000}"/>
    <hyperlink ref="M563" r:id="rId559" xr:uid="{00000000-0004-0000-1200-00002E020000}"/>
    <hyperlink ref="M564" r:id="rId560" xr:uid="{00000000-0004-0000-1200-00002F020000}"/>
    <hyperlink ref="M565" r:id="rId561" xr:uid="{00000000-0004-0000-1200-000030020000}"/>
    <hyperlink ref="M566" r:id="rId562" xr:uid="{00000000-0004-0000-1200-000031020000}"/>
    <hyperlink ref="M567" r:id="rId563" xr:uid="{00000000-0004-0000-1200-000032020000}"/>
    <hyperlink ref="M568" r:id="rId564" xr:uid="{00000000-0004-0000-1200-000033020000}"/>
    <hyperlink ref="M569" r:id="rId565" xr:uid="{00000000-0004-0000-1200-000034020000}"/>
    <hyperlink ref="M570" r:id="rId566" xr:uid="{00000000-0004-0000-1200-000035020000}"/>
    <hyperlink ref="M571" r:id="rId567" xr:uid="{00000000-0004-0000-1200-000036020000}"/>
    <hyperlink ref="M572" r:id="rId568" xr:uid="{00000000-0004-0000-1200-000037020000}"/>
    <hyperlink ref="M573" r:id="rId569" xr:uid="{00000000-0004-0000-1200-000038020000}"/>
    <hyperlink ref="M574" r:id="rId570" xr:uid="{00000000-0004-0000-1200-000039020000}"/>
    <hyperlink ref="M575" r:id="rId571" xr:uid="{00000000-0004-0000-1200-00003A020000}"/>
    <hyperlink ref="M576" r:id="rId572" xr:uid="{00000000-0004-0000-1200-00003B020000}"/>
    <hyperlink ref="M577" r:id="rId573" xr:uid="{00000000-0004-0000-1200-00003C020000}"/>
    <hyperlink ref="M578" r:id="rId574" xr:uid="{00000000-0004-0000-1200-00003D020000}"/>
    <hyperlink ref="M579" r:id="rId575" xr:uid="{00000000-0004-0000-1200-00003E020000}"/>
    <hyperlink ref="M580" r:id="rId576" xr:uid="{00000000-0004-0000-1200-00003F020000}"/>
    <hyperlink ref="M581" r:id="rId577" xr:uid="{00000000-0004-0000-1200-000040020000}"/>
    <hyperlink ref="M582" r:id="rId578" xr:uid="{00000000-0004-0000-1200-000041020000}"/>
    <hyperlink ref="M583" r:id="rId579" xr:uid="{00000000-0004-0000-1200-000042020000}"/>
    <hyperlink ref="M584" r:id="rId580" xr:uid="{00000000-0004-0000-1200-000043020000}"/>
    <hyperlink ref="M585" r:id="rId581" xr:uid="{00000000-0004-0000-1200-000044020000}"/>
    <hyperlink ref="M586" r:id="rId582" xr:uid="{00000000-0004-0000-1200-000045020000}"/>
    <hyperlink ref="M587" r:id="rId583" xr:uid="{00000000-0004-0000-1200-000046020000}"/>
    <hyperlink ref="M588" r:id="rId584" xr:uid="{00000000-0004-0000-1200-000047020000}"/>
    <hyperlink ref="M589" r:id="rId585" xr:uid="{00000000-0004-0000-1200-000048020000}"/>
    <hyperlink ref="M590" r:id="rId586" xr:uid="{00000000-0004-0000-1200-000049020000}"/>
    <hyperlink ref="M591" r:id="rId587" xr:uid="{00000000-0004-0000-1200-00004A020000}"/>
    <hyperlink ref="M592" r:id="rId588" xr:uid="{00000000-0004-0000-1200-00004B020000}"/>
    <hyperlink ref="M593" r:id="rId589" xr:uid="{00000000-0004-0000-1200-00004C020000}"/>
    <hyperlink ref="M594" r:id="rId590" xr:uid="{00000000-0004-0000-1200-00004D020000}"/>
    <hyperlink ref="M595" r:id="rId591" xr:uid="{00000000-0004-0000-1200-00004E020000}"/>
    <hyperlink ref="M596" r:id="rId592" xr:uid="{00000000-0004-0000-1200-00004F020000}"/>
    <hyperlink ref="M597" r:id="rId593" xr:uid="{00000000-0004-0000-1200-000050020000}"/>
    <hyperlink ref="M598" r:id="rId594" xr:uid="{00000000-0004-0000-1200-000051020000}"/>
    <hyperlink ref="M599" r:id="rId595" xr:uid="{00000000-0004-0000-1200-000052020000}"/>
    <hyperlink ref="M600" r:id="rId596" xr:uid="{00000000-0004-0000-1200-000053020000}"/>
    <hyperlink ref="M601" r:id="rId597" xr:uid="{00000000-0004-0000-1200-000054020000}"/>
    <hyperlink ref="M602" r:id="rId598" xr:uid="{00000000-0004-0000-1200-000055020000}"/>
    <hyperlink ref="M603" r:id="rId599" xr:uid="{00000000-0004-0000-1200-000056020000}"/>
    <hyperlink ref="M604" r:id="rId600" xr:uid="{00000000-0004-0000-1200-000057020000}"/>
    <hyperlink ref="M605" r:id="rId601" xr:uid="{00000000-0004-0000-1200-000058020000}"/>
    <hyperlink ref="M606" r:id="rId602" xr:uid="{00000000-0004-0000-1200-000059020000}"/>
    <hyperlink ref="M607" r:id="rId603" xr:uid="{00000000-0004-0000-1200-00005A020000}"/>
    <hyperlink ref="M608" r:id="rId604" xr:uid="{00000000-0004-0000-1200-00005B020000}"/>
    <hyperlink ref="M609" r:id="rId605" xr:uid="{00000000-0004-0000-1200-00005C020000}"/>
    <hyperlink ref="M610" r:id="rId606" xr:uid="{00000000-0004-0000-1200-00005D020000}"/>
    <hyperlink ref="M611" r:id="rId607" xr:uid="{00000000-0004-0000-1200-00005E020000}"/>
    <hyperlink ref="M612" r:id="rId608" xr:uid="{00000000-0004-0000-1200-00005F020000}"/>
    <hyperlink ref="M613" r:id="rId609" xr:uid="{00000000-0004-0000-1200-000060020000}"/>
    <hyperlink ref="M614" r:id="rId610" xr:uid="{00000000-0004-0000-1200-000061020000}"/>
    <hyperlink ref="M615" r:id="rId611" xr:uid="{00000000-0004-0000-1200-000062020000}"/>
    <hyperlink ref="M616" r:id="rId612" xr:uid="{00000000-0004-0000-1200-000063020000}"/>
    <hyperlink ref="M617" r:id="rId613" xr:uid="{00000000-0004-0000-1200-000064020000}"/>
    <hyperlink ref="M618" r:id="rId614" xr:uid="{00000000-0004-0000-1200-000065020000}"/>
    <hyperlink ref="M619" r:id="rId615" xr:uid="{00000000-0004-0000-1200-000066020000}"/>
    <hyperlink ref="M620" r:id="rId616" xr:uid="{00000000-0004-0000-1200-000067020000}"/>
    <hyperlink ref="M621" r:id="rId617" xr:uid="{00000000-0004-0000-1200-000068020000}"/>
    <hyperlink ref="M622" r:id="rId618" xr:uid="{00000000-0004-0000-1200-000069020000}"/>
    <hyperlink ref="M623" r:id="rId619" xr:uid="{00000000-0004-0000-1200-00006A020000}"/>
    <hyperlink ref="M624" r:id="rId620" xr:uid="{00000000-0004-0000-1200-00006B020000}"/>
    <hyperlink ref="M625" r:id="rId621" xr:uid="{00000000-0004-0000-1200-00006C020000}"/>
    <hyperlink ref="M626" r:id="rId622" xr:uid="{00000000-0004-0000-1200-00006D020000}"/>
    <hyperlink ref="M627" r:id="rId623" xr:uid="{00000000-0004-0000-1200-00006E020000}"/>
    <hyperlink ref="M628" r:id="rId624" xr:uid="{00000000-0004-0000-1200-00006F020000}"/>
    <hyperlink ref="M629" r:id="rId625" xr:uid="{00000000-0004-0000-1200-000070020000}"/>
    <hyperlink ref="M630" r:id="rId626" xr:uid="{00000000-0004-0000-1200-000071020000}"/>
    <hyperlink ref="M631" r:id="rId627" xr:uid="{00000000-0004-0000-1200-000072020000}"/>
    <hyperlink ref="M632" r:id="rId628" xr:uid="{00000000-0004-0000-1200-000073020000}"/>
    <hyperlink ref="M633" r:id="rId629" xr:uid="{00000000-0004-0000-1200-000074020000}"/>
    <hyperlink ref="M634" r:id="rId630" xr:uid="{00000000-0004-0000-1200-000075020000}"/>
    <hyperlink ref="M635" r:id="rId631" xr:uid="{00000000-0004-0000-1200-000076020000}"/>
    <hyperlink ref="M636" r:id="rId632" xr:uid="{00000000-0004-0000-1200-000077020000}"/>
    <hyperlink ref="M637" r:id="rId633" xr:uid="{00000000-0004-0000-1200-000078020000}"/>
    <hyperlink ref="M638" r:id="rId634" xr:uid="{00000000-0004-0000-1200-000079020000}"/>
    <hyperlink ref="M639" r:id="rId635" xr:uid="{00000000-0004-0000-1200-00007A020000}"/>
    <hyperlink ref="M640" r:id="rId636" xr:uid="{00000000-0004-0000-1200-00007B020000}"/>
    <hyperlink ref="M641" r:id="rId637" xr:uid="{00000000-0004-0000-1200-00007C020000}"/>
    <hyperlink ref="M642" r:id="rId638" xr:uid="{00000000-0004-0000-1200-00007D020000}"/>
    <hyperlink ref="M643" r:id="rId639" xr:uid="{00000000-0004-0000-1200-00007E020000}"/>
    <hyperlink ref="M644" r:id="rId640" xr:uid="{00000000-0004-0000-1200-00007F020000}"/>
    <hyperlink ref="M645" r:id="rId641" xr:uid="{00000000-0004-0000-1200-000080020000}"/>
    <hyperlink ref="M646" r:id="rId642" xr:uid="{00000000-0004-0000-1200-000081020000}"/>
    <hyperlink ref="M647" r:id="rId643" xr:uid="{00000000-0004-0000-1200-000082020000}"/>
    <hyperlink ref="M648" r:id="rId644" xr:uid="{00000000-0004-0000-1200-000083020000}"/>
    <hyperlink ref="M649" r:id="rId645" xr:uid="{00000000-0004-0000-1200-000084020000}"/>
    <hyperlink ref="M650" r:id="rId646" xr:uid="{00000000-0004-0000-1200-000085020000}"/>
    <hyperlink ref="M651" r:id="rId647" xr:uid="{00000000-0004-0000-1200-000086020000}"/>
    <hyperlink ref="M652" r:id="rId648" xr:uid="{00000000-0004-0000-1200-000087020000}"/>
    <hyperlink ref="M653" r:id="rId649" xr:uid="{00000000-0004-0000-1200-000088020000}"/>
    <hyperlink ref="M654" r:id="rId650" xr:uid="{00000000-0004-0000-1200-000089020000}"/>
    <hyperlink ref="M655" r:id="rId651" xr:uid="{00000000-0004-0000-1200-00008A020000}"/>
    <hyperlink ref="M656" r:id="rId652" xr:uid="{00000000-0004-0000-1200-00008B020000}"/>
    <hyperlink ref="M657" r:id="rId653" xr:uid="{00000000-0004-0000-1200-00008C020000}"/>
    <hyperlink ref="M658" r:id="rId654" xr:uid="{00000000-0004-0000-1200-00008D020000}"/>
    <hyperlink ref="M659" r:id="rId655" xr:uid="{00000000-0004-0000-1200-00008E020000}"/>
    <hyperlink ref="M660" r:id="rId656" xr:uid="{00000000-0004-0000-1200-00008F020000}"/>
    <hyperlink ref="M661" r:id="rId657" xr:uid="{00000000-0004-0000-1200-000090020000}"/>
    <hyperlink ref="M662" r:id="rId658" xr:uid="{00000000-0004-0000-1200-000091020000}"/>
    <hyperlink ref="M663" r:id="rId659" xr:uid="{00000000-0004-0000-1200-000092020000}"/>
    <hyperlink ref="M664" r:id="rId660" xr:uid="{00000000-0004-0000-1200-000093020000}"/>
    <hyperlink ref="M665" r:id="rId661" xr:uid="{00000000-0004-0000-1200-000094020000}"/>
    <hyperlink ref="M666" r:id="rId662" xr:uid="{00000000-0004-0000-1200-000095020000}"/>
    <hyperlink ref="M667" r:id="rId663" xr:uid="{00000000-0004-0000-1200-000096020000}"/>
    <hyperlink ref="M668" r:id="rId664" xr:uid="{00000000-0004-0000-1200-000097020000}"/>
    <hyperlink ref="M669" r:id="rId665" xr:uid="{00000000-0004-0000-1200-000098020000}"/>
    <hyperlink ref="M670" r:id="rId666" xr:uid="{00000000-0004-0000-1200-000099020000}"/>
    <hyperlink ref="M671" r:id="rId667" xr:uid="{00000000-0004-0000-1200-00009A020000}"/>
    <hyperlink ref="M672" r:id="rId668" xr:uid="{00000000-0004-0000-1200-00009B020000}"/>
    <hyperlink ref="M673" r:id="rId669" xr:uid="{00000000-0004-0000-1200-00009C020000}"/>
    <hyperlink ref="M674" r:id="rId670" xr:uid="{00000000-0004-0000-1200-00009D020000}"/>
    <hyperlink ref="M675" r:id="rId671" xr:uid="{00000000-0004-0000-1200-00009E020000}"/>
    <hyperlink ref="M676" r:id="rId672" xr:uid="{00000000-0004-0000-1200-00009F020000}"/>
    <hyperlink ref="M677" r:id="rId673" xr:uid="{00000000-0004-0000-1200-0000A0020000}"/>
    <hyperlink ref="M678" r:id="rId674" xr:uid="{00000000-0004-0000-1200-0000A1020000}"/>
    <hyperlink ref="M679" r:id="rId675" xr:uid="{00000000-0004-0000-1200-0000A2020000}"/>
    <hyperlink ref="M680" r:id="rId676" xr:uid="{00000000-0004-0000-1200-0000A3020000}"/>
    <hyperlink ref="M681" r:id="rId677" xr:uid="{00000000-0004-0000-1200-0000A4020000}"/>
    <hyperlink ref="M682" r:id="rId678" xr:uid="{00000000-0004-0000-1200-0000A5020000}"/>
    <hyperlink ref="M683" r:id="rId679" xr:uid="{00000000-0004-0000-1200-0000A6020000}"/>
    <hyperlink ref="M684" r:id="rId680" xr:uid="{00000000-0004-0000-1200-0000A7020000}"/>
    <hyperlink ref="M685" r:id="rId681" xr:uid="{00000000-0004-0000-1200-0000A8020000}"/>
    <hyperlink ref="M686" r:id="rId682" xr:uid="{00000000-0004-0000-1200-0000A9020000}"/>
    <hyperlink ref="M687" r:id="rId683" xr:uid="{00000000-0004-0000-1200-0000AA020000}"/>
    <hyperlink ref="M688" r:id="rId684" xr:uid="{00000000-0004-0000-1200-0000AB020000}"/>
    <hyperlink ref="M689" r:id="rId685" xr:uid="{00000000-0004-0000-1200-0000AC020000}"/>
    <hyperlink ref="M690" r:id="rId686" xr:uid="{00000000-0004-0000-1200-0000AD020000}"/>
    <hyperlink ref="M691" r:id="rId687" xr:uid="{00000000-0004-0000-1200-0000AE020000}"/>
    <hyperlink ref="M692" r:id="rId688" xr:uid="{00000000-0004-0000-1200-0000AF020000}"/>
    <hyperlink ref="M693" r:id="rId689" xr:uid="{00000000-0004-0000-1200-0000B0020000}"/>
    <hyperlink ref="M694" r:id="rId690" xr:uid="{00000000-0004-0000-1200-0000B1020000}"/>
    <hyperlink ref="M695" r:id="rId691" xr:uid="{00000000-0004-0000-1200-0000B2020000}"/>
    <hyperlink ref="M696" r:id="rId692" xr:uid="{00000000-0004-0000-1200-0000B3020000}"/>
    <hyperlink ref="M697" r:id="rId693" xr:uid="{00000000-0004-0000-1200-0000B4020000}"/>
    <hyperlink ref="M698" r:id="rId694" xr:uid="{00000000-0004-0000-1200-0000B5020000}"/>
    <hyperlink ref="M699" r:id="rId695" xr:uid="{00000000-0004-0000-1200-0000B6020000}"/>
    <hyperlink ref="M700" r:id="rId696" xr:uid="{00000000-0004-0000-1200-0000B7020000}"/>
    <hyperlink ref="M701" r:id="rId697" xr:uid="{00000000-0004-0000-1200-0000B8020000}"/>
    <hyperlink ref="M702" r:id="rId698" xr:uid="{00000000-0004-0000-1200-0000B9020000}"/>
    <hyperlink ref="M703" r:id="rId699" xr:uid="{00000000-0004-0000-1200-0000BA020000}"/>
    <hyperlink ref="M704" r:id="rId700" xr:uid="{00000000-0004-0000-1200-0000BB020000}"/>
    <hyperlink ref="M705" r:id="rId701" xr:uid="{00000000-0004-0000-1200-0000BC020000}"/>
    <hyperlink ref="M706" r:id="rId702" xr:uid="{00000000-0004-0000-1200-0000BD020000}"/>
    <hyperlink ref="M707" r:id="rId703" xr:uid="{00000000-0004-0000-1200-0000BE020000}"/>
    <hyperlink ref="M708" r:id="rId704" xr:uid="{00000000-0004-0000-1200-0000BF020000}"/>
    <hyperlink ref="M709" r:id="rId705" xr:uid="{00000000-0004-0000-1200-0000C0020000}"/>
    <hyperlink ref="M710" r:id="rId706" xr:uid="{00000000-0004-0000-1200-0000C1020000}"/>
    <hyperlink ref="M711" r:id="rId707" xr:uid="{00000000-0004-0000-1200-0000C2020000}"/>
    <hyperlink ref="M712" r:id="rId708" xr:uid="{00000000-0004-0000-1200-0000C3020000}"/>
    <hyperlink ref="M713" r:id="rId709" xr:uid="{00000000-0004-0000-1200-0000C4020000}"/>
    <hyperlink ref="M714" r:id="rId710" xr:uid="{00000000-0004-0000-1200-0000C5020000}"/>
    <hyperlink ref="M715" r:id="rId711" xr:uid="{00000000-0004-0000-1200-0000C6020000}"/>
    <hyperlink ref="M716" r:id="rId712" xr:uid="{00000000-0004-0000-1200-0000C7020000}"/>
    <hyperlink ref="M717" r:id="rId713" xr:uid="{00000000-0004-0000-1200-0000C8020000}"/>
    <hyperlink ref="M718" r:id="rId714" xr:uid="{00000000-0004-0000-1200-0000C9020000}"/>
    <hyperlink ref="M719" r:id="rId715" xr:uid="{00000000-0004-0000-1200-0000CA020000}"/>
    <hyperlink ref="M720" r:id="rId716" xr:uid="{00000000-0004-0000-1200-0000CB020000}"/>
    <hyperlink ref="M721" r:id="rId717" xr:uid="{00000000-0004-0000-1200-0000CC020000}"/>
    <hyperlink ref="M722" r:id="rId718" xr:uid="{00000000-0004-0000-1200-0000CD020000}"/>
    <hyperlink ref="M723" r:id="rId719" xr:uid="{00000000-0004-0000-1200-0000CE020000}"/>
    <hyperlink ref="M724" r:id="rId720" xr:uid="{00000000-0004-0000-1200-0000CF020000}"/>
    <hyperlink ref="M725" r:id="rId721" xr:uid="{00000000-0004-0000-1200-0000D0020000}"/>
    <hyperlink ref="M726" r:id="rId722" xr:uid="{00000000-0004-0000-1200-0000D1020000}"/>
    <hyperlink ref="M727" r:id="rId723" xr:uid="{00000000-0004-0000-1200-0000D2020000}"/>
    <hyperlink ref="M728" r:id="rId724" xr:uid="{00000000-0004-0000-1200-0000D3020000}"/>
    <hyperlink ref="M729" r:id="rId725" xr:uid="{00000000-0004-0000-1200-0000D4020000}"/>
    <hyperlink ref="M730" r:id="rId726" xr:uid="{00000000-0004-0000-1200-0000D5020000}"/>
    <hyperlink ref="M731" r:id="rId727" xr:uid="{00000000-0004-0000-1200-0000D6020000}"/>
    <hyperlink ref="M732" r:id="rId728" xr:uid="{00000000-0004-0000-1200-0000D7020000}"/>
    <hyperlink ref="M733" r:id="rId729" xr:uid="{00000000-0004-0000-1200-0000D8020000}"/>
    <hyperlink ref="M734" r:id="rId730" xr:uid="{00000000-0004-0000-1200-0000D9020000}"/>
    <hyperlink ref="M735" r:id="rId731" xr:uid="{00000000-0004-0000-1200-0000DA020000}"/>
    <hyperlink ref="M736" r:id="rId732" xr:uid="{00000000-0004-0000-1200-0000DB020000}"/>
    <hyperlink ref="M737" r:id="rId733" xr:uid="{00000000-0004-0000-1200-0000DC020000}"/>
    <hyperlink ref="M738" r:id="rId734" xr:uid="{00000000-0004-0000-1200-0000DD020000}"/>
    <hyperlink ref="M739" r:id="rId735" xr:uid="{00000000-0004-0000-1200-0000DE020000}"/>
    <hyperlink ref="M740" r:id="rId736" xr:uid="{00000000-0004-0000-1200-0000DF020000}"/>
    <hyperlink ref="M741" r:id="rId737" xr:uid="{00000000-0004-0000-1200-0000E0020000}"/>
    <hyperlink ref="M742" r:id="rId738" xr:uid="{00000000-0004-0000-1200-0000E1020000}"/>
    <hyperlink ref="M743" r:id="rId739" xr:uid="{00000000-0004-0000-1200-0000E2020000}"/>
    <hyperlink ref="M744" r:id="rId740" xr:uid="{00000000-0004-0000-1200-0000E3020000}"/>
    <hyperlink ref="M745" r:id="rId741" xr:uid="{00000000-0004-0000-1200-0000E4020000}"/>
    <hyperlink ref="M746" r:id="rId742" xr:uid="{00000000-0004-0000-1200-0000E5020000}"/>
    <hyperlink ref="M747" r:id="rId743" xr:uid="{00000000-0004-0000-1200-0000E6020000}"/>
    <hyperlink ref="M748" r:id="rId744" xr:uid="{00000000-0004-0000-1200-0000E7020000}"/>
    <hyperlink ref="M749" r:id="rId745" xr:uid="{00000000-0004-0000-1200-0000E8020000}"/>
    <hyperlink ref="M750" r:id="rId746" xr:uid="{00000000-0004-0000-1200-0000E9020000}"/>
    <hyperlink ref="M751" r:id="rId747" xr:uid="{00000000-0004-0000-1200-0000EA020000}"/>
    <hyperlink ref="M752" r:id="rId748" xr:uid="{00000000-0004-0000-1200-0000EB020000}"/>
    <hyperlink ref="M753" r:id="rId749" xr:uid="{00000000-0004-0000-1200-0000EC020000}"/>
    <hyperlink ref="M754" r:id="rId750" xr:uid="{00000000-0004-0000-1200-0000ED020000}"/>
    <hyperlink ref="M755" r:id="rId751" xr:uid="{00000000-0004-0000-1200-0000EE020000}"/>
    <hyperlink ref="M756" r:id="rId752" xr:uid="{00000000-0004-0000-1200-0000EF020000}"/>
    <hyperlink ref="M757" r:id="rId753" xr:uid="{00000000-0004-0000-1200-0000F0020000}"/>
    <hyperlink ref="M758" r:id="rId754" xr:uid="{00000000-0004-0000-1200-0000F1020000}"/>
    <hyperlink ref="M759" r:id="rId755" xr:uid="{00000000-0004-0000-1200-0000F2020000}"/>
    <hyperlink ref="M760" r:id="rId756" xr:uid="{00000000-0004-0000-1200-0000F3020000}"/>
    <hyperlink ref="M761" r:id="rId757" xr:uid="{00000000-0004-0000-1200-0000F4020000}"/>
    <hyperlink ref="M762" r:id="rId758" xr:uid="{00000000-0004-0000-1200-0000F5020000}"/>
    <hyperlink ref="M763" r:id="rId759" xr:uid="{00000000-0004-0000-1200-0000F6020000}"/>
    <hyperlink ref="M764" r:id="rId760" xr:uid="{00000000-0004-0000-1200-0000F7020000}"/>
    <hyperlink ref="M765" r:id="rId761" xr:uid="{00000000-0004-0000-1200-0000F8020000}"/>
    <hyperlink ref="M766" r:id="rId762" xr:uid="{00000000-0004-0000-1200-0000F9020000}"/>
    <hyperlink ref="M767" r:id="rId763" xr:uid="{00000000-0004-0000-1200-0000FA020000}"/>
    <hyperlink ref="M768" r:id="rId764" xr:uid="{00000000-0004-0000-1200-0000FB020000}"/>
    <hyperlink ref="M769" r:id="rId765" xr:uid="{00000000-0004-0000-1200-0000FC020000}"/>
    <hyperlink ref="M770" r:id="rId766" xr:uid="{00000000-0004-0000-1200-0000FD020000}"/>
    <hyperlink ref="M771" r:id="rId767" xr:uid="{00000000-0004-0000-1200-0000FE020000}"/>
    <hyperlink ref="M772" r:id="rId768" xr:uid="{00000000-0004-0000-1200-0000FF020000}"/>
    <hyperlink ref="M773" r:id="rId769" xr:uid="{00000000-0004-0000-1200-000000030000}"/>
    <hyperlink ref="M774" r:id="rId770" xr:uid="{00000000-0004-0000-1200-000001030000}"/>
    <hyperlink ref="M775" r:id="rId771" xr:uid="{00000000-0004-0000-1200-000002030000}"/>
    <hyperlink ref="M776" r:id="rId772" xr:uid="{00000000-0004-0000-1200-000003030000}"/>
    <hyperlink ref="M777" r:id="rId773" xr:uid="{00000000-0004-0000-1200-000004030000}"/>
    <hyperlink ref="M778" r:id="rId774" xr:uid="{00000000-0004-0000-1200-000005030000}"/>
    <hyperlink ref="M779" r:id="rId775" xr:uid="{00000000-0004-0000-1200-000006030000}"/>
    <hyperlink ref="M780" r:id="rId776" xr:uid="{00000000-0004-0000-1200-000007030000}"/>
    <hyperlink ref="M781" r:id="rId777" xr:uid="{00000000-0004-0000-1200-000008030000}"/>
    <hyperlink ref="M782" r:id="rId778" xr:uid="{00000000-0004-0000-1200-000009030000}"/>
    <hyperlink ref="M783" r:id="rId779" xr:uid="{00000000-0004-0000-1200-00000A030000}"/>
    <hyperlink ref="M784" r:id="rId780" xr:uid="{00000000-0004-0000-1200-00000B030000}"/>
    <hyperlink ref="M785" r:id="rId781" xr:uid="{00000000-0004-0000-1200-00000C030000}"/>
    <hyperlink ref="M786" r:id="rId782" xr:uid="{00000000-0004-0000-1200-00000D030000}"/>
    <hyperlink ref="M787" r:id="rId783" xr:uid="{00000000-0004-0000-1200-00000E030000}"/>
    <hyperlink ref="M788" r:id="rId784" xr:uid="{00000000-0004-0000-1200-00000F030000}"/>
    <hyperlink ref="M789" r:id="rId785" xr:uid="{00000000-0004-0000-1200-000010030000}"/>
    <hyperlink ref="M790" r:id="rId786" xr:uid="{00000000-0004-0000-1200-000011030000}"/>
    <hyperlink ref="M791" r:id="rId787" xr:uid="{00000000-0004-0000-1200-000012030000}"/>
    <hyperlink ref="M792" r:id="rId788" xr:uid="{00000000-0004-0000-1200-000013030000}"/>
    <hyperlink ref="M793" r:id="rId789" xr:uid="{00000000-0004-0000-1200-000014030000}"/>
    <hyperlink ref="M794" r:id="rId790" xr:uid="{00000000-0004-0000-1200-000015030000}"/>
    <hyperlink ref="M795" r:id="rId791" xr:uid="{00000000-0004-0000-1200-000016030000}"/>
    <hyperlink ref="M796" r:id="rId792" xr:uid="{00000000-0004-0000-1200-000017030000}"/>
    <hyperlink ref="M797" r:id="rId793" xr:uid="{00000000-0004-0000-1200-000018030000}"/>
    <hyperlink ref="M798" r:id="rId794" xr:uid="{00000000-0004-0000-1200-000019030000}"/>
    <hyperlink ref="M799" r:id="rId795" xr:uid="{00000000-0004-0000-1200-00001A030000}"/>
    <hyperlink ref="M800" r:id="rId796" xr:uid="{00000000-0004-0000-1200-00001B030000}"/>
    <hyperlink ref="M801" r:id="rId797" xr:uid="{00000000-0004-0000-1200-00001C030000}"/>
    <hyperlink ref="M802" r:id="rId798" xr:uid="{00000000-0004-0000-1200-00001D030000}"/>
    <hyperlink ref="M803" r:id="rId799" xr:uid="{00000000-0004-0000-1200-00001E030000}"/>
    <hyperlink ref="M804" r:id="rId800" xr:uid="{00000000-0004-0000-1200-00001F030000}"/>
    <hyperlink ref="M805" r:id="rId801" xr:uid="{00000000-0004-0000-1200-000020030000}"/>
    <hyperlink ref="M806" r:id="rId802" xr:uid="{00000000-0004-0000-1200-000021030000}"/>
    <hyperlink ref="M807" r:id="rId803" xr:uid="{00000000-0004-0000-1200-000022030000}"/>
    <hyperlink ref="M808" r:id="rId804" xr:uid="{00000000-0004-0000-1200-000023030000}"/>
    <hyperlink ref="M809" r:id="rId805" xr:uid="{00000000-0004-0000-1200-000024030000}"/>
    <hyperlink ref="M810" r:id="rId806" xr:uid="{00000000-0004-0000-1200-000025030000}"/>
    <hyperlink ref="M811" r:id="rId807" xr:uid="{00000000-0004-0000-1200-000026030000}"/>
    <hyperlink ref="M812" r:id="rId808" xr:uid="{00000000-0004-0000-1200-000027030000}"/>
    <hyperlink ref="M813" r:id="rId809" xr:uid="{00000000-0004-0000-1200-000028030000}"/>
    <hyperlink ref="M814" r:id="rId810" xr:uid="{00000000-0004-0000-1200-000029030000}"/>
    <hyperlink ref="M815" r:id="rId811" xr:uid="{00000000-0004-0000-1200-00002A030000}"/>
    <hyperlink ref="M816" r:id="rId812" xr:uid="{00000000-0004-0000-1200-00002B030000}"/>
    <hyperlink ref="M817" r:id="rId813" xr:uid="{00000000-0004-0000-1200-00002C030000}"/>
    <hyperlink ref="M818" r:id="rId814" xr:uid="{00000000-0004-0000-1200-00002D030000}"/>
    <hyperlink ref="M819" r:id="rId815" xr:uid="{00000000-0004-0000-1200-00002E030000}"/>
    <hyperlink ref="M820" r:id="rId816" xr:uid="{00000000-0004-0000-1200-00002F030000}"/>
    <hyperlink ref="M821" r:id="rId817" xr:uid="{00000000-0004-0000-1200-000030030000}"/>
    <hyperlink ref="M822" r:id="rId818" xr:uid="{00000000-0004-0000-1200-000031030000}"/>
    <hyperlink ref="M823" r:id="rId819" xr:uid="{00000000-0004-0000-1200-000032030000}"/>
    <hyperlink ref="M824" r:id="rId820" xr:uid="{00000000-0004-0000-1200-000033030000}"/>
    <hyperlink ref="M825" r:id="rId821" xr:uid="{00000000-0004-0000-1200-000034030000}"/>
    <hyperlink ref="M826" r:id="rId822" xr:uid="{00000000-0004-0000-1200-000035030000}"/>
    <hyperlink ref="M827" r:id="rId823" xr:uid="{00000000-0004-0000-1200-000036030000}"/>
    <hyperlink ref="M828" r:id="rId824" xr:uid="{00000000-0004-0000-1200-000037030000}"/>
    <hyperlink ref="M829" r:id="rId825" xr:uid="{00000000-0004-0000-1200-000038030000}"/>
    <hyperlink ref="M830" r:id="rId826" xr:uid="{00000000-0004-0000-1200-000039030000}"/>
    <hyperlink ref="M831" r:id="rId827" xr:uid="{00000000-0004-0000-1200-00003A030000}"/>
    <hyperlink ref="M832" r:id="rId828" xr:uid="{00000000-0004-0000-1200-00003B030000}"/>
    <hyperlink ref="M833" r:id="rId829" xr:uid="{00000000-0004-0000-1200-00003C030000}"/>
    <hyperlink ref="M834" r:id="rId830" xr:uid="{00000000-0004-0000-1200-00003D030000}"/>
    <hyperlink ref="M835" r:id="rId831" xr:uid="{00000000-0004-0000-1200-00003E030000}"/>
    <hyperlink ref="M836" r:id="rId832" xr:uid="{00000000-0004-0000-1200-00003F030000}"/>
    <hyperlink ref="M837" r:id="rId833" xr:uid="{00000000-0004-0000-1200-000040030000}"/>
    <hyperlink ref="M838" r:id="rId834" xr:uid="{00000000-0004-0000-1200-000041030000}"/>
    <hyperlink ref="M839" r:id="rId835" xr:uid="{00000000-0004-0000-1200-000042030000}"/>
    <hyperlink ref="M840" r:id="rId836" xr:uid="{00000000-0004-0000-1200-000043030000}"/>
    <hyperlink ref="M841" r:id="rId837" xr:uid="{00000000-0004-0000-1200-000044030000}"/>
    <hyperlink ref="M842" r:id="rId838" xr:uid="{00000000-0004-0000-1200-000045030000}"/>
    <hyperlink ref="M843" r:id="rId839" xr:uid="{00000000-0004-0000-1200-000046030000}"/>
    <hyperlink ref="M844" r:id="rId840" xr:uid="{00000000-0004-0000-1200-000047030000}"/>
    <hyperlink ref="M845" r:id="rId841" xr:uid="{00000000-0004-0000-1200-000048030000}"/>
    <hyperlink ref="M846" r:id="rId842" xr:uid="{00000000-0004-0000-1200-000049030000}"/>
    <hyperlink ref="M847" r:id="rId843" xr:uid="{00000000-0004-0000-1200-00004A030000}"/>
    <hyperlink ref="M848" r:id="rId844" xr:uid="{00000000-0004-0000-1200-00004B030000}"/>
    <hyperlink ref="M849" r:id="rId845" xr:uid="{00000000-0004-0000-1200-00004C030000}"/>
    <hyperlink ref="M850" r:id="rId846" xr:uid="{00000000-0004-0000-1200-00004D030000}"/>
    <hyperlink ref="M851" r:id="rId847" xr:uid="{00000000-0004-0000-1200-00004E030000}"/>
    <hyperlink ref="M852" r:id="rId848" xr:uid="{00000000-0004-0000-1200-00004F030000}"/>
    <hyperlink ref="M853" r:id="rId849" xr:uid="{00000000-0004-0000-1200-000050030000}"/>
    <hyperlink ref="M854" r:id="rId850" xr:uid="{00000000-0004-0000-1200-000051030000}"/>
    <hyperlink ref="M855" r:id="rId851" xr:uid="{00000000-0004-0000-1200-000052030000}"/>
    <hyperlink ref="M856" r:id="rId852" xr:uid="{00000000-0004-0000-1200-000053030000}"/>
    <hyperlink ref="M857" r:id="rId853" xr:uid="{00000000-0004-0000-1200-000054030000}"/>
    <hyperlink ref="M858" r:id="rId854" xr:uid="{00000000-0004-0000-1200-000055030000}"/>
    <hyperlink ref="M859" r:id="rId855" xr:uid="{00000000-0004-0000-1200-000056030000}"/>
    <hyperlink ref="M860" r:id="rId856" xr:uid="{00000000-0004-0000-1200-000057030000}"/>
    <hyperlink ref="M861" r:id="rId857" xr:uid="{00000000-0004-0000-1200-000058030000}"/>
    <hyperlink ref="M862" r:id="rId858" xr:uid="{00000000-0004-0000-1200-000059030000}"/>
    <hyperlink ref="M863" r:id="rId859" xr:uid="{00000000-0004-0000-1200-00005A030000}"/>
    <hyperlink ref="M864" r:id="rId860" xr:uid="{00000000-0004-0000-1200-00005B030000}"/>
    <hyperlink ref="M865" r:id="rId861" xr:uid="{00000000-0004-0000-1200-00005C030000}"/>
    <hyperlink ref="M866" r:id="rId862" xr:uid="{00000000-0004-0000-1200-00005D030000}"/>
    <hyperlink ref="M867" r:id="rId863" xr:uid="{00000000-0004-0000-1200-00005E030000}"/>
    <hyperlink ref="M868" r:id="rId864" xr:uid="{00000000-0004-0000-1200-00005F030000}"/>
    <hyperlink ref="M869" r:id="rId865" xr:uid="{00000000-0004-0000-1200-000060030000}"/>
    <hyperlink ref="M870" r:id="rId866" xr:uid="{00000000-0004-0000-1200-000061030000}"/>
    <hyperlink ref="M871" r:id="rId867" xr:uid="{00000000-0004-0000-1200-000062030000}"/>
    <hyperlink ref="M872" r:id="rId868" xr:uid="{00000000-0004-0000-1200-000063030000}"/>
    <hyperlink ref="M873" r:id="rId869" xr:uid="{00000000-0004-0000-1200-000064030000}"/>
    <hyperlink ref="M874" r:id="rId870" xr:uid="{00000000-0004-0000-1200-000065030000}"/>
    <hyperlink ref="M875" r:id="rId871" xr:uid="{00000000-0004-0000-1200-000066030000}"/>
    <hyperlink ref="M876" r:id="rId872" xr:uid="{00000000-0004-0000-1200-000067030000}"/>
    <hyperlink ref="M877" r:id="rId873" xr:uid="{00000000-0004-0000-1200-000068030000}"/>
    <hyperlink ref="M878" r:id="rId874" xr:uid="{00000000-0004-0000-1200-000069030000}"/>
    <hyperlink ref="M879" r:id="rId875" xr:uid="{00000000-0004-0000-1200-00006A030000}"/>
    <hyperlink ref="M880" r:id="rId876" xr:uid="{00000000-0004-0000-1200-00006B030000}"/>
    <hyperlink ref="M881" r:id="rId877" xr:uid="{00000000-0004-0000-1200-00006C030000}"/>
    <hyperlink ref="M882" r:id="rId878" xr:uid="{00000000-0004-0000-1200-00006D030000}"/>
    <hyperlink ref="M883" r:id="rId879" xr:uid="{00000000-0004-0000-1200-00006E030000}"/>
    <hyperlink ref="M884" r:id="rId880" xr:uid="{00000000-0004-0000-1200-00006F030000}"/>
    <hyperlink ref="M885" r:id="rId881" xr:uid="{00000000-0004-0000-1200-000070030000}"/>
    <hyperlink ref="M886" r:id="rId882" xr:uid="{00000000-0004-0000-1200-000071030000}"/>
    <hyperlink ref="M887" r:id="rId883" xr:uid="{00000000-0004-0000-1200-000072030000}"/>
    <hyperlink ref="M888" r:id="rId884" xr:uid="{00000000-0004-0000-1200-000073030000}"/>
    <hyperlink ref="M889" r:id="rId885" xr:uid="{00000000-0004-0000-1200-000074030000}"/>
    <hyperlink ref="M890" r:id="rId886" xr:uid="{00000000-0004-0000-1200-000075030000}"/>
    <hyperlink ref="M891" r:id="rId887" xr:uid="{00000000-0004-0000-1200-000076030000}"/>
    <hyperlink ref="M892" r:id="rId888" xr:uid="{00000000-0004-0000-1200-000077030000}"/>
    <hyperlink ref="M893" r:id="rId889" xr:uid="{00000000-0004-0000-1200-000078030000}"/>
    <hyperlink ref="M894" r:id="rId890" xr:uid="{00000000-0004-0000-1200-000079030000}"/>
    <hyperlink ref="M895" r:id="rId891" xr:uid="{00000000-0004-0000-1200-00007A030000}"/>
    <hyperlink ref="M896" r:id="rId892" xr:uid="{00000000-0004-0000-1200-00007B030000}"/>
    <hyperlink ref="M897" r:id="rId893" xr:uid="{00000000-0004-0000-1200-00007C030000}"/>
    <hyperlink ref="M898" r:id="rId894" xr:uid="{00000000-0004-0000-1200-00007D030000}"/>
    <hyperlink ref="M899" r:id="rId895" xr:uid="{00000000-0004-0000-1200-00007E030000}"/>
    <hyperlink ref="M900" r:id="rId896" xr:uid="{00000000-0004-0000-1200-00007F030000}"/>
    <hyperlink ref="M901" r:id="rId897" xr:uid="{00000000-0004-0000-1200-000080030000}"/>
    <hyperlink ref="M902" r:id="rId898" xr:uid="{00000000-0004-0000-1200-000081030000}"/>
    <hyperlink ref="M903" r:id="rId899" xr:uid="{00000000-0004-0000-1200-000082030000}"/>
    <hyperlink ref="M904" r:id="rId900" xr:uid="{00000000-0004-0000-1200-000083030000}"/>
    <hyperlink ref="M905" r:id="rId901" xr:uid="{00000000-0004-0000-1200-000084030000}"/>
    <hyperlink ref="M906" r:id="rId902" xr:uid="{00000000-0004-0000-1200-000085030000}"/>
    <hyperlink ref="M907" r:id="rId903" xr:uid="{00000000-0004-0000-1200-000086030000}"/>
    <hyperlink ref="M908" r:id="rId904" xr:uid="{00000000-0004-0000-1200-000087030000}"/>
    <hyperlink ref="M909" r:id="rId905" xr:uid="{00000000-0004-0000-1200-000088030000}"/>
    <hyperlink ref="M910" r:id="rId906" xr:uid="{00000000-0004-0000-1200-000089030000}"/>
    <hyperlink ref="M911" r:id="rId907" xr:uid="{00000000-0004-0000-1200-00008A030000}"/>
    <hyperlink ref="M912" r:id="rId908" xr:uid="{00000000-0004-0000-1200-00008B030000}"/>
    <hyperlink ref="M913" r:id="rId909" xr:uid="{00000000-0004-0000-1200-00008C030000}"/>
    <hyperlink ref="M914" r:id="rId910" xr:uid="{00000000-0004-0000-1200-00008D030000}"/>
    <hyperlink ref="M915" r:id="rId911" xr:uid="{00000000-0004-0000-1200-00008E030000}"/>
    <hyperlink ref="M916" r:id="rId912" xr:uid="{00000000-0004-0000-1200-00008F030000}"/>
    <hyperlink ref="M917" r:id="rId913" xr:uid="{00000000-0004-0000-1200-000090030000}"/>
    <hyperlink ref="M918" r:id="rId914" xr:uid="{00000000-0004-0000-1200-000091030000}"/>
    <hyperlink ref="M919" r:id="rId915" xr:uid="{00000000-0004-0000-1200-000092030000}"/>
    <hyperlink ref="M920" r:id="rId916" xr:uid="{00000000-0004-0000-1200-000093030000}"/>
    <hyperlink ref="M921" r:id="rId917" xr:uid="{00000000-0004-0000-1200-000094030000}"/>
    <hyperlink ref="M922" r:id="rId918" xr:uid="{00000000-0004-0000-1200-000095030000}"/>
    <hyperlink ref="M923" r:id="rId919" xr:uid="{00000000-0004-0000-1200-000096030000}"/>
    <hyperlink ref="M924" r:id="rId920" xr:uid="{00000000-0004-0000-1200-000097030000}"/>
    <hyperlink ref="M925" r:id="rId921" xr:uid="{00000000-0004-0000-1200-000098030000}"/>
    <hyperlink ref="M926" r:id="rId922" xr:uid="{00000000-0004-0000-1200-000099030000}"/>
    <hyperlink ref="M927" r:id="rId923" xr:uid="{00000000-0004-0000-1200-00009A030000}"/>
    <hyperlink ref="M928" r:id="rId924" xr:uid="{00000000-0004-0000-1200-00009B030000}"/>
    <hyperlink ref="M929" r:id="rId925" xr:uid="{00000000-0004-0000-1200-00009C030000}"/>
    <hyperlink ref="M930" r:id="rId926" xr:uid="{00000000-0004-0000-1200-00009D030000}"/>
    <hyperlink ref="M931" r:id="rId927" xr:uid="{00000000-0004-0000-1200-00009E030000}"/>
    <hyperlink ref="M932" r:id="rId928" xr:uid="{00000000-0004-0000-1200-00009F030000}"/>
    <hyperlink ref="M933" r:id="rId929" xr:uid="{00000000-0004-0000-1200-0000A0030000}"/>
    <hyperlink ref="M934" r:id="rId930" xr:uid="{00000000-0004-0000-1200-0000A1030000}"/>
    <hyperlink ref="M935" r:id="rId931" xr:uid="{00000000-0004-0000-1200-0000A2030000}"/>
    <hyperlink ref="M936" r:id="rId932" xr:uid="{00000000-0004-0000-1200-0000A3030000}"/>
    <hyperlink ref="M937" r:id="rId933" xr:uid="{00000000-0004-0000-1200-0000A4030000}"/>
    <hyperlink ref="M938" r:id="rId934" xr:uid="{00000000-0004-0000-1200-0000A5030000}"/>
    <hyperlink ref="M939" r:id="rId935" xr:uid="{00000000-0004-0000-1200-0000A6030000}"/>
    <hyperlink ref="M940" r:id="rId936" xr:uid="{00000000-0004-0000-1200-0000A7030000}"/>
    <hyperlink ref="M941" r:id="rId937" xr:uid="{00000000-0004-0000-1200-0000A8030000}"/>
    <hyperlink ref="M942" r:id="rId938" xr:uid="{00000000-0004-0000-1200-0000A9030000}"/>
    <hyperlink ref="M943" r:id="rId939" xr:uid="{00000000-0004-0000-1200-0000AA030000}"/>
    <hyperlink ref="M944" r:id="rId940" xr:uid="{00000000-0004-0000-1200-0000AB030000}"/>
    <hyperlink ref="M945" r:id="rId941" xr:uid="{00000000-0004-0000-1200-0000AC030000}"/>
    <hyperlink ref="M946" r:id="rId942" xr:uid="{00000000-0004-0000-1200-0000AD030000}"/>
    <hyperlink ref="M947" r:id="rId943" xr:uid="{00000000-0004-0000-1200-0000AE030000}"/>
    <hyperlink ref="M948" r:id="rId944" xr:uid="{00000000-0004-0000-1200-0000AF030000}"/>
    <hyperlink ref="M949" r:id="rId945" xr:uid="{00000000-0004-0000-1200-0000B0030000}"/>
    <hyperlink ref="M950" r:id="rId946" xr:uid="{00000000-0004-0000-1200-0000B1030000}"/>
    <hyperlink ref="M951" r:id="rId947" xr:uid="{00000000-0004-0000-1200-0000B2030000}"/>
    <hyperlink ref="M952" r:id="rId948" xr:uid="{00000000-0004-0000-1200-0000B3030000}"/>
    <hyperlink ref="M953" r:id="rId949" xr:uid="{00000000-0004-0000-1200-0000B4030000}"/>
    <hyperlink ref="M954" r:id="rId950" xr:uid="{00000000-0004-0000-1200-0000B5030000}"/>
    <hyperlink ref="M955" r:id="rId951" xr:uid="{00000000-0004-0000-1200-0000B6030000}"/>
    <hyperlink ref="M956" r:id="rId952" xr:uid="{00000000-0004-0000-1200-0000B7030000}"/>
    <hyperlink ref="M957" r:id="rId953" xr:uid="{00000000-0004-0000-1200-0000B8030000}"/>
    <hyperlink ref="M958" r:id="rId954" xr:uid="{00000000-0004-0000-1200-0000B9030000}"/>
    <hyperlink ref="M959" r:id="rId955" xr:uid="{00000000-0004-0000-1200-0000BA030000}"/>
    <hyperlink ref="M960" r:id="rId956" xr:uid="{00000000-0004-0000-1200-0000BB030000}"/>
    <hyperlink ref="M961" r:id="rId957" xr:uid="{00000000-0004-0000-1200-0000BC030000}"/>
    <hyperlink ref="M962" r:id="rId958" xr:uid="{00000000-0004-0000-1200-0000BD030000}"/>
    <hyperlink ref="M963" r:id="rId959" xr:uid="{00000000-0004-0000-1200-0000BE030000}"/>
    <hyperlink ref="M964" r:id="rId960" xr:uid="{00000000-0004-0000-1200-0000BF030000}"/>
    <hyperlink ref="M965" r:id="rId961" xr:uid="{00000000-0004-0000-1200-0000C0030000}"/>
    <hyperlink ref="M966" r:id="rId962" xr:uid="{00000000-0004-0000-1200-0000C1030000}"/>
    <hyperlink ref="M967" r:id="rId963" xr:uid="{00000000-0004-0000-1200-0000C2030000}"/>
    <hyperlink ref="M968" r:id="rId964" xr:uid="{00000000-0004-0000-1200-0000C3030000}"/>
    <hyperlink ref="M969" r:id="rId965" xr:uid="{00000000-0004-0000-1200-0000C4030000}"/>
    <hyperlink ref="M970" r:id="rId966" xr:uid="{00000000-0004-0000-1200-0000C5030000}"/>
    <hyperlink ref="M971" r:id="rId967" xr:uid="{00000000-0004-0000-1200-0000C6030000}"/>
    <hyperlink ref="M972" r:id="rId968" xr:uid="{00000000-0004-0000-1200-0000C7030000}"/>
    <hyperlink ref="M973" r:id="rId969" xr:uid="{00000000-0004-0000-1200-0000C8030000}"/>
    <hyperlink ref="M974" r:id="rId970" xr:uid="{00000000-0004-0000-1200-0000C9030000}"/>
    <hyperlink ref="M975" r:id="rId971" xr:uid="{00000000-0004-0000-1200-0000CA030000}"/>
    <hyperlink ref="M976" r:id="rId972" xr:uid="{00000000-0004-0000-1200-0000CB030000}"/>
    <hyperlink ref="M977" r:id="rId973" xr:uid="{00000000-0004-0000-1200-0000CC030000}"/>
    <hyperlink ref="M978" r:id="rId974" xr:uid="{00000000-0004-0000-1200-0000CD030000}"/>
    <hyperlink ref="M979" r:id="rId975" xr:uid="{00000000-0004-0000-1200-0000CE030000}"/>
    <hyperlink ref="M980" r:id="rId976" xr:uid="{00000000-0004-0000-1200-0000CF030000}"/>
    <hyperlink ref="M981" r:id="rId977" xr:uid="{00000000-0004-0000-1200-0000D0030000}"/>
    <hyperlink ref="M982" r:id="rId978" xr:uid="{00000000-0004-0000-1200-0000D1030000}"/>
    <hyperlink ref="M983" r:id="rId979" xr:uid="{00000000-0004-0000-1200-0000D2030000}"/>
    <hyperlink ref="M984" r:id="rId980" xr:uid="{00000000-0004-0000-1200-0000D3030000}"/>
    <hyperlink ref="M985" r:id="rId981" xr:uid="{00000000-0004-0000-1200-0000D4030000}"/>
    <hyperlink ref="M986" r:id="rId982" xr:uid="{00000000-0004-0000-1200-0000D5030000}"/>
    <hyperlink ref="M987" r:id="rId983" xr:uid="{00000000-0004-0000-1200-0000D6030000}"/>
    <hyperlink ref="M988" r:id="rId984" xr:uid="{00000000-0004-0000-1200-0000D7030000}"/>
    <hyperlink ref="M989" r:id="rId985" xr:uid="{00000000-0004-0000-1200-0000D8030000}"/>
    <hyperlink ref="M990" r:id="rId986" xr:uid="{00000000-0004-0000-1200-0000D9030000}"/>
    <hyperlink ref="M991" r:id="rId987" xr:uid="{00000000-0004-0000-1200-0000DA030000}"/>
    <hyperlink ref="M992" r:id="rId988" xr:uid="{00000000-0004-0000-1200-0000DB030000}"/>
    <hyperlink ref="M993" r:id="rId989" xr:uid="{00000000-0004-0000-1200-0000DC030000}"/>
    <hyperlink ref="M994" r:id="rId990" xr:uid="{00000000-0004-0000-1200-0000DD030000}"/>
    <hyperlink ref="M995" r:id="rId991" xr:uid="{00000000-0004-0000-1200-0000DE030000}"/>
    <hyperlink ref="M996" r:id="rId992" xr:uid="{00000000-0004-0000-1200-0000DF030000}"/>
    <hyperlink ref="M997" r:id="rId993" xr:uid="{00000000-0004-0000-1200-0000E0030000}"/>
    <hyperlink ref="M998" r:id="rId994" xr:uid="{00000000-0004-0000-1200-0000E1030000}"/>
    <hyperlink ref="M999" r:id="rId995" xr:uid="{00000000-0004-0000-1200-0000E2030000}"/>
    <hyperlink ref="M1000" r:id="rId996" xr:uid="{00000000-0004-0000-1200-0000E3030000}"/>
    <hyperlink ref="M1001" r:id="rId997" xr:uid="{00000000-0004-0000-1200-0000E4030000}"/>
    <hyperlink ref="M1002" r:id="rId998" xr:uid="{00000000-0004-0000-1200-0000E5030000}"/>
    <hyperlink ref="M1003" r:id="rId999" xr:uid="{00000000-0004-0000-1200-0000E6030000}"/>
    <hyperlink ref="M1004" r:id="rId1000" xr:uid="{00000000-0004-0000-1200-0000E7030000}"/>
    <hyperlink ref="M1005" r:id="rId1001" xr:uid="{00000000-0004-0000-1200-0000E8030000}"/>
    <hyperlink ref="M1006" r:id="rId1002" xr:uid="{00000000-0004-0000-1200-0000E9030000}"/>
    <hyperlink ref="M1007" r:id="rId1003" xr:uid="{00000000-0004-0000-1200-0000EA030000}"/>
    <hyperlink ref="M1008" r:id="rId1004" xr:uid="{00000000-0004-0000-1200-0000EB030000}"/>
    <hyperlink ref="M1009" r:id="rId1005" xr:uid="{00000000-0004-0000-1200-0000EC030000}"/>
    <hyperlink ref="M1010" r:id="rId1006" xr:uid="{00000000-0004-0000-1200-0000ED030000}"/>
    <hyperlink ref="M1011" r:id="rId1007" xr:uid="{00000000-0004-0000-1200-0000EE030000}"/>
    <hyperlink ref="M1012" r:id="rId1008" xr:uid="{00000000-0004-0000-1200-0000EF030000}"/>
    <hyperlink ref="M1013" r:id="rId1009" xr:uid="{00000000-0004-0000-1200-0000F0030000}"/>
    <hyperlink ref="M1014" r:id="rId1010" xr:uid="{00000000-0004-0000-1200-0000F1030000}"/>
    <hyperlink ref="M1015" r:id="rId1011" xr:uid="{00000000-0004-0000-1200-0000F2030000}"/>
    <hyperlink ref="M1016" r:id="rId1012" xr:uid="{00000000-0004-0000-1200-0000F3030000}"/>
    <hyperlink ref="M1017" r:id="rId1013" xr:uid="{00000000-0004-0000-1200-0000F4030000}"/>
    <hyperlink ref="M1018" r:id="rId1014" xr:uid="{00000000-0004-0000-1200-0000F5030000}"/>
    <hyperlink ref="M1019" r:id="rId1015" xr:uid="{00000000-0004-0000-1200-0000F6030000}"/>
    <hyperlink ref="M1020" r:id="rId1016" xr:uid="{00000000-0004-0000-1200-0000F7030000}"/>
    <hyperlink ref="M1021" r:id="rId1017" xr:uid="{00000000-0004-0000-1200-0000F8030000}"/>
    <hyperlink ref="M1022" r:id="rId1018" xr:uid="{00000000-0004-0000-1200-0000F9030000}"/>
    <hyperlink ref="M1023" r:id="rId1019" xr:uid="{00000000-0004-0000-1200-0000FA030000}"/>
    <hyperlink ref="M1024" r:id="rId1020" xr:uid="{00000000-0004-0000-1200-0000FB030000}"/>
    <hyperlink ref="M1025" r:id="rId1021" xr:uid="{00000000-0004-0000-1200-0000FC030000}"/>
    <hyperlink ref="M1026" r:id="rId1022" xr:uid="{00000000-0004-0000-1200-0000FD030000}"/>
    <hyperlink ref="M1027" r:id="rId1023" xr:uid="{00000000-0004-0000-1200-0000FE030000}"/>
    <hyperlink ref="M1028" r:id="rId1024" xr:uid="{00000000-0004-0000-1200-0000FF030000}"/>
    <hyperlink ref="M1029" r:id="rId1025" xr:uid="{00000000-0004-0000-1200-000000040000}"/>
    <hyperlink ref="M1030" r:id="rId1026" xr:uid="{00000000-0004-0000-1200-000001040000}"/>
    <hyperlink ref="M1031" r:id="rId1027" xr:uid="{00000000-0004-0000-1200-000002040000}"/>
    <hyperlink ref="M1032" r:id="rId1028" xr:uid="{00000000-0004-0000-1200-000003040000}"/>
    <hyperlink ref="M1033" r:id="rId1029" xr:uid="{00000000-0004-0000-1200-000004040000}"/>
    <hyperlink ref="M1034" r:id="rId1030" xr:uid="{00000000-0004-0000-1200-000005040000}"/>
    <hyperlink ref="M1035" r:id="rId1031" xr:uid="{00000000-0004-0000-1200-000006040000}"/>
    <hyperlink ref="M1036" r:id="rId1032" xr:uid="{00000000-0004-0000-1200-000007040000}"/>
    <hyperlink ref="M1037" r:id="rId1033" xr:uid="{00000000-0004-0000-1200-000008040000}"/>
    <hyperlink ref="M1038" r:id="rId1034" xr:uid="{00000000-0004-0000-1200-000009040000}"/>
    <hyperlink ref="M1039" r:id="rId1035" xr:uid="{00000000-0004-0000-1200-00000A040000}"/>
    <hyperlink ref="M1040" r:id="rId1036" xr:uid="{00000000-0004-0000-1200-00000B040000}"/>
    <hyperlink ref="M1041" r:id="rId1037" xr:uid="{00000000-0004-0000-1200-00000C040000}"/>
    <hyperlink ref="M1042" r:id="rId1038" xr:uid="{00000000-0004-0000-1200-00000D040000}"/>
    <hyperlink ref="M1043" r:id="rId1039" xr:uid="{00000000-0004-0000-1200-00000E040000}"/>
    <hyperlink ref="M1044" r:id="rId1040" xr:uid="{00000000-0004-0000-1200-00000F040000}"/>
    <hyperlink ref="M1045" r:id="rId1041" xr:uid="{00000000-0004-0000-1200-000010040000}"/>
    <hyperlink ref="M1046" r:id="rId1042" xr:uid="{00000000-0004-0000-1200-000011040000}"/>
    <hyperlink ref="M1047" r:id="rId1043" xr:uid="{00000000-0004-0000-1200-000012040000}"/>
    <hyperlink ref="M1048" r:id="rId1044" xr:uid="{00000000-0004-0000-1200-000013040000}"/>
    <hyperlink ref="M1049" r:id="rId1045" xr:uid="{00000000-0004-0000-1200-000014040000}"/>
    <hyperlink ref="M1050" r:id="rId1046" xr:uid="{00000000-0004-0000-1200-000015040000}"/>
    <hyperlink ref="M1051" r:id="rId1047" xr:uid="{00000000-0004-0000-1200-000016040000}"/>
    <hyperlink ref="M1052" r:id="rId1048" xr:uid="{00000000-0004-0000-1200-000017040000}"/>
    <hyperlink ref="M1053" r:id="rId1049" xr:uid="{00000000-0004-0000-1200-000018040000}"/>
    <hyperlink ref="M1054" r:id="rId1050" xr:uid="{00000000-0004-0000-1200-000019040000}"/>
    <hyperlink ref="M1055" r:id="rId1051" xr:uid="{00000000-0004-0000-1200-00001A040000}"/>
    <hyperlink ref="M1056" r:id="rId1052" xr:uid="{00000000-0004-0000-1200-00001B040000}"/>
    <hyperlink ref="M1057" r:id="rId1053" xr:uid="{00000000-0004-0000-1200-00001C040000}"/>
    <hyperlink ref="M1058" r:id="rId1054" xr:uid="{00000000-0004-0000-1200-00001D040000}"/>
    <hyperlink ref="M1059" r:id="rId1055" xr:uid="{00000000-0004-0000-1200-00001E040000}"/>
    <hyperlink ref="M1060" r:id="rId1056" xr:uid="{00000000-0004-0000-1200-00001F040000}"/>
    <hyperlink ref="M1061" r:id="rId1057" xr:uid="{00000000-0004-0000-1200-000020040000}"/>
    <hyperlink ref="M1062" r:id="rId1058" xr:uid="{00000000-0004-0000-1200-000021040000}"/>
    <hyperlink ref="M1063" r:id="rId1059" xr:uid="{00000000-0004-0000-1200-000022040000}"/>
    <hyperlink ref="M1064" r:id="rId1060" xr:uid="{00000000-0004-0000-1200-000023040000}"/>
    <hyperlink ref="M1065" r:id="rId1061" xr:uid="{00000000-0004-0000-1200-000024040000}"/>
    <hyperlink ref="M1066" r:id="rId1062" xr:uid="{00000000-0004-0000-1200-000025040000}"/>
    <hyperlink ref="M1067" r:id="rId1063" xr:uid="{00000000-0004-0000-1200-000026040000}"/>
    <hyperlink ref="M1068" r:id="rId1064" xr:uid="{00000000-0004-0000-1200-000027040000}"/>
    <hyperlink ref="M1069" r:id="rId1065" xr:uid="{00000000-0004-0000-1200-000028040000}"/>
    <hyperlink ref="M1070" r:id="rId1066" xr:uid="{00000000-0004-0000-1200-000029040000}"/>
    <hyperlink ref="M1071" r:id="rId1067" xr:uid="{00000000-0004-0000-1200-00002A040000}"/>
    <hyperlink ref="M1072" r:id="rId1068" xr:uid="{00000000-0004-0000-1200-00002B040000}"/>
    <hyperlink ref="M1073" r:id="rId1069" xr:uid="{00000000-0004-0000-1200-00002C040000}"/>
    <hyperlink ref="M1074" r:id="rId1070" xr:uid="{00000000-0004-0000-1200-00002D040000}"/>
    <hyperlink ref="M1075" r:id="rId1071" xr:uid="{00000000-0004-0000-1200-00002E040000}"/>
    <hyperlink ref="M1076" r:id="rId1072" xr:uid="{00000000-0004-0000-1200-00002F040000}"/>
    <hyperlink ref="M1077" r:id="rId1073" xr:uid="{00000000-0004-0000-1200-000030040000}"/>
    <hyperlink ref="M1078" r:id="rId1074" xr:uid="{00000000-0004-0000-1200-000031040000}"/>
    <hyperlink ref="M1079" r:id="rId1075" xr:uid="{00000000-0004-0000-1200-000032040000}"/>
    <hyperlink ref="M1080" r:id="rId1076" xr:uid="{00000000-0004-0000-1200-000033040000}"/>
    <hyperlink ref="M1081" r:id="rId1077" xr:uid="{00000000-0004-0000-1200-000034040000}"/>
    <hyperlink ref="M1082" r:id="rId1078" xr:uid="{00000000-0004-0000-1200-000035040000}"/>
    <hyperlink ref="M1083" r:id="rId1079" xr:uid="{00000000-0004-0000-1200-000036040000}"/>
    <hyperlink ref="M1084" r:id="rId1080" xr:uid="{00000000-0004-0000-1200-000037040000}"/>
    <hyperlink ref="M1085" r:id="rId1081" xr:uid="{00000000-0004-0000-1200-000038040000}"/>
    <hyperlink ref="M1086" r:id="rId1082" xr:uid="{00000000-0004-0000-1200-000039040000}"/>
    <hyperlink ref="M1087" r:id="rId1083" xr:uid="{00000000-0004-0000-1200-00003A040000}"/>
    <hyperlink ref="M1088" r:id="rId1084" xr:uid="{00000000-0004-0000-1200-00003B040000}"/>
    <hyperlink ref="M1089" r:id="rId1085" xr:uid="{00000000-0004-0000-1200-00003C040000}"/>
    <hyperlink ref="M1090" r:id="rId1086" xr:uid="{00000000-0004-0000-1200-00003D040000}"/>
    <hyperlink ref="M1091" r:id="rId1087" xr:uid="{00000000-0004-0000-1200-00003E040000}"/>
    <hyperlink ref="M1092" r:id="rId1088" xr:uid="{00000000-0004-0000-1200-00003F040000}"/>
    <hyperlink ref="M1093" r:id="rId1089" xr:uid="{00000000-0004-0000-1200-000040040000}"/>
    <hyperlink ref="M1094" r:id="rId1090" xr:uid="{00000000-0004-0000-1200-000041040000}"/>
    <hyperlink ref="M1095" r:id="rId1091" xr:uid="{00000000-0004-0000-1200-000042040000}"/>
    <hyperlink ref="M1096" r:id="rId1092" xr:uid="{00000000-0004-0000-1200-000043040000}"/>
    <hyperlink ref="M1097" r:id="rId1093" xr:uid="{00000000-0004-0000-1200-000044040000}"/>
    <hyperlink ref="M1098" r:id="rId1094" xr:uid="{00000000-0004-0000-1200-000045040000}"/>
    <hyperlink ref="M1099" r:id="rId1095" xr:uid="{00000000-0004-0000-1200-000046040000}"/>
    <hyperlink ref="M1100" r:id="rId1096" xr:uid="{00000000-0004-0000-1200-000047040000}"/>
    <hyperlink ref="M1101" r:id="rId1097" xr:uid="{00000000-0004-0000-1200-000048040000}"/>
    <hyperlink ref="M1102" r:id="rId1098" xr:uid="{00000000-0004-0000-1200-000049040000}"/>
    <hyperlink ref="M1103" r:id="rId1099" xr:uid="{00000000-0004-0000-1200-00004A040000}"/>
    <hyperlink ref="M1104" r:id="rId1100" xr:uid="{00000000-0004-0000-1200-00004B040000}"/>
    <hyperlink ref="M1105" r:id="rId1101" xr:uid="{00000000-0004-0000-1200-00004C040000}"/>
    <hyperlink ref="M1106" r:id="rId1102" xr:uid="{00000000-0004-0000-1200-00004D040000}"/>
    <hyperlink ref="M1107" r:id="rId1103" xr:uid="{00000000-0004-0000-1200-00004E040000}"/>
    <hyperlink ref="M1108" r:id="rId1104" xr:uid="{00000000-0004-0000-1200-00004F040000}"/>
    <hyperlink ref="M1109" r:id="rId1105" xr:uid="{00000000-0004-0000-1200-000050040000}"/>
    <hyperlink ref="M1110" r:id="rId1106" xr:uid="{00000000-0004-0000-1200-000051040000}"/>
    <hyperlink ref="M1111" r:id="rId1107" xr:uid="{00000000-0004-0000-1200-000052040000}"/>
    <hyperlink ref="M1112" r:id="rId1108" xr:uid="{00000000-0004-0000-1200-000053040000}"/>
    <hyperlink ref="M1113" r:id="rId1109" xr:uid="{00000000-0004-0000-1200-000054040000}"/>
    <hyperlink ref="M1114" r:id="rId1110" xr:uid="{00000000-0004-0000-1200-000055040000}"/>
    <hyperlink ref="M1115" r:id="rId1111" xr:uid="{00000000-0004-0000-1200-000056040000}"/>
    <hyperlink ref="M1116" r:id="rId1112" xr:uid="{00000000-0004-0000-1200-000057040000}"/>
    <hyperlink ref="M1117" r:id="rId1113" xr:uid="{00000000-0004-0000-1200-000058040000}"/>
    <hyperlink ref="M1118" r:id="rId1114" xr:uid="{00000000-0004-0000-1200-000059040000}"/>
    <hyperlink ref="M1119" r:id="rId1115" xr:uid="{00000000-0004-0000-1200-00005A040000}"/>
    <hyperlink ref="M1120" r:id="rId1116" xr:uid="{00000000-0004-0000-1200-00005B040000}"/>
    <hyperlink ref="M1121" r:id="rId1117" xr:uid="{00000000-0004-0000-1200-00005C040000}"/>
    <hyperlink ref="M1122" r:id="rId1118" xr:uid="{00000000-0004-0000-1200-00005D040000}"/>
    <hyperlink ref="M1123" r:id="rId1119" xr:uid="{00000000-0004-0000-1200-00005E040000}"/>
    <hyperlink ref="M1124" r:id="rId1120" xr:uid="{00000000-0004-0000-1200-00005F040000}"/>
    <hyperlink ref="M1125" r:id="rId1121" xr:uid="{00000000-0004-0000-1200-000060040000}"/>
    <hyperlink ref="M1126" r:id="rId1122" xr:uid="{00000000-0004-0000-1200-000061040000}"/>
    <hyperlink ref="M1127" r:id="rId1123" xr:uid="{00000000-0004-0000-1200-000062040000}"/>
    <hyperlink ref="M1128" r:id="rId1124" xr:uid="{00000000-0004-0000-1200-000063040000}"/>
    <hyperlink ref="M1129" r:id="rId1125" xr:uid="{00000000-0004-0000-1200-000064040000}"/>
    <hyperlink ref="M1130" r:id="rId1126" xr:uid="{00000000-0004-0000-1200-000065040000}"/>
    <hyperlink ref="M1131" r:id="rId1127" xr:uid="{00000000-0004-0000-1200-000066040000}"/>
    <hyperlink ref="M1132" r:id="rId1128" xr:uid="{00000000-0004-0000-1200-000067040000}"/>
    <hyperlink ref="M1133" r:id="rId1129" xr:uid="{00000000-0004-0000-1200-000068040000}"/>
    <hyperlink ref="M1134" r:id="rId1130" xr:uid="{00000000-0004-0000-1200-000069040000}"/>
    <hyperlink ref="M1135" r:id="rId1131" xr:uid="{00000000-0004-0000-1200-00006A040000}"/>
    <hyperlink ref="M1136" r:id="rId1132" xr:uid="{00000000-0004-0000-1200-00006B040000}"/>
    <hyperlink ref="M1137" r:id="rId1133" xr:uid="{00000000-0004-0000-1200-00006C040000}"/>
    <hyperlink ref="M1138" r:id="rId1134" xr:uid="{00000000-0004-0000-1200-00006D040000}"/>
    <hyperlink ref="M1139" r:id="rId1135" xr:uid="{00000000-0004-0000-1200-00006E040000}"/>
    <hyperlink ref="M1140" r:id="rId1136" xr:uid="{00000000-0004-0000-1200-00006F040000}"/>
    <hyperlink ref="M1141" r:id="rId1137" xr:uid="{00000000-0004-0000-1200-000070040000}"/>
    <hyperlink ref="M1142" r:id="rId1138" xr:uid="{00000000-0004-0000-1200-000071040000}"/>
    <hyperlink ref="M1143" r:id="rId1139" xr:uid="{00000000-0004-0000-1200-000072040000}"/>
    <hyperlink ref="M1144" r:id="rId1140" xr:uid="{00000000-0004-0000-1200-000073040000}"/>
    <hyperlink ref="M1145" r:id="rId1141" xr:uid="{00000000-0004-0000-1200-000074040000}"/>
    <hyperlink ref="M1146" r:id="rId1142" xr:uid="{00000000-0004-0000-1200-000075040000}"/>
    <hyperlink ref="M1147" r:id="rId1143" xr:uid="{00000000-0004-0000-1200-000076040000}"/>
    <hyperlink ref="M1148" r:id="rId1144" xr:uid="{00000000-0004-0000-1200-000077040000}"/>
    <hyperlink ref="M1149" r:id="rId1145" xr:uid="{00000000-0004-0000-1200-000078040000}"/>
    <hyperlink ref="M1150" r:id="rId1146" xr:uid="{00000000-0004-0000-1200-000079040000}"/>
    <hyperlink ref="M1151" r:id="rId1147" xr:uid="{00000000-0004-0000-1200-00007A040000}"/>
    <hyperlink ref="M1152" r:id="rId1148" xr:uid="{00000000-0004-0000-1200-00007B040000}"/>
    <hyperlink ref="M1153" r:id="rId1149" xr:uid="{00000000-0004-0000-1200-00007C040000}"/>
    <hyperlink ref="M1154" r:id="rId1150" xr:uid="{00000000-0004-0000-1200-00007D040000}"/>
    <hyperlink ref="M1155" r:id="rId1151" xr:uid="{00000000-0004-0000-1200-00007E040000}"/>
    <hyperlink ref="M1156" r:id="rId1152" xr:uid="{00000000-0004-0000-1200-00007F040000}"/>
    <hyperlink ref="M1157" r:id="rId1153" xr:uid="{00000000-0004-0000-1200-000080040000}"/>
    <hyperlink ref="M1158" r:id="rId1154" xr:uid="{00000000-0004-0000-1200-000081040000}"/>
    <hyperlink ref="M1159" r:id="rId1155" xr:uid="{00000000-0004-0000-1200-000082040000}"/>
    <hyperlink ref="M1160" r:id="rId1156" xr:uid="{00000000-0004-0000-1200-000083040000}"/>
    <hyperlink ref="M1161" r:id="rId1157" xr:uid="{00000000-0004-0000-1200-000084040000}"/>
    <hyperlink ref="M1162" r:id="rId1158" xr:uid="{00000000-0004-0000-1200-000085040000}"/>
    <hyperlink ref="M1163" r:id="rId1159" xr:uid="{00000000-0004-0000-1200-000086040000}"/>
    <hyperlink ref="M1164" r:id="rId1160" xr:uid="{00000000-0004-0000-1200-000087040000}"/>
    <hyperlink ref="M1165" r:id="rId1161" xr:uid="{00000000-0004-0000-1200-000088040000}"/>
    <hyperlink ref="M1166" r:id="rId1162" xr:uid="{00000000-0004-0000-1200-000089040000}"/>
    <hyperlink ref="M1167" r:id="rId1163" xr:uid="{00000000-0004-0000-1200-00008A040000}"/>
    <hyperlink ref="M1168" r:id="rId1164" xr:uid="{00000000-0004-0000-1200-00008B040000}"/>
    <hyperlink ref="M1169" r:id="rId1165" xr:uid="{00000000-0004-0000-1200-00008C040000}"/>
    <hyperlink ref="M1170" r:id="rId1166" xr:uid="{00000000-0004-0000-1200-00008D040000}"/>
    <hyperlink ref="M1171" r:id="rId1167" xr:uid="{00000000-0004-0000-1200-00008E040000}"/>
    <hyperlink ref="M1172" r:id="rId1168" xr:uid="{00000000-0004-0000-1200-00008F040000}"/>
    <hyperlink ref="M1173" r:id="rId1169" xr:uid="{00000000-0004-0000-1200-000090040000}"/>
    <hyperlink ref="M1174" r:id="rId1170" xr:uid="{00000000-0004-0000-1200-000091040000}"/>
    <hyperlink ref="M1175" r:id="rId1171" xr:uid="{00000000-0004-0000-1200-000092040000}"/>
    <hyperlink ref="M1176" r:id="rId1172" xr:uid="{00000000-0004-0000-1200-000093040000}"/>
    <hyperlink ref="M1177" r:id="rId1173" xr:uid="{00000000-0004-0000-1200-000094040000}"/>
    <hyperlink ref="M1178" r:id="rId1174" xr:uid="{00000000-0004-0000-1200-000095040000}"/>
    <hyperlink ref="M1179" r:id="rId1175" xr:uid="{00000000-0004-0000-1200-000096040000}"/>
    <hyperlink ref="M1180" r:id="rId1176" xr:uid="{00000000-0004-0000-1200-000097040000}"/>
    <hyperlink ref="M1181" r:id="rId1177" xr:uid="{00000000-0004-0000-1200-000098040000}"/>
    <hyperlink ref="M1182" r:id="rId1178" xr:uid="{00000000-0004-0000-1200-000099040000}"/>
    <hyperlink ref="M1183" r:id="rId1179" xr:uid="{00000000-0004-0000-1200-00009A040000}"/>
    <hyperlink ref="M1184" r:id="rId1180" xr:uid="{00000000-0004-0000-1200-00009B040000}"/>
    <hyperlink ref="M1185" r:id="rId1181" xr:uid="{00000000-0004-0000-1200-00009C040000}"/>
    <hyperlink ref="M1186" r:id="rId1182" xr:uid="{00000000-0004-0000-1200-00009D040000}"/>
    <hyperlink ref="M1187" r:id="rId1183" xr:uid="{00000000-0004-0000-1200-00009E040000}"/>
    <hyperlink ref="M1188" r:id="rId1184" xr:uid="{00000000-0004-0000-1200-00009F040000}"/>
    <hyperlink ref="M1189" r:id="rId1185" xr:uid="{00000000-0004-0000-1200-0000A0040000}"/>
    <hyperlink ref="M1190" r:id="rId1186" xr:uid="{00000000-0004-0000-1200-0000A1040000}"/>
    <hyperlink ref="M1191" r:id="rId1187" xr:uid="{00000000-0004-0000-1200-0000A2040000}"/>
    <hyperlink ref="M1192" r:id="rId1188" xr:uid="{00000000-0004-0000-1200-0000A3040000}"/>
    <hyperlink ref="M1193" r:id="rId1189" xr:uid="{00000000-0004-0000-1200-0000A4040000}"/>
    <hyperlink ref="M1194" r:id="rId1190" xr:uid="{00000000-0004-0000-1200-0000A5040000}"/>
    <hyperlink ref="M1195" r:id="rId1191" xr:uid="{00000000-0004-0000-1200-0000A6040000}"/>
    <hyperlink ref="M1196" r:id="rId1192" xr:uid="{00000000-0004-0000-1200-0000A7040000}"/>
    <hyperlink ref="M1197" r:id="rId1193" xr:uid="{00000000-0004-0000-1200-0000A8040000}"/>
    <hyperlink ref="M1198" r:id="rId1194" xr:uid="{00000000-0004-0000-1200-0000A9040000}"/>
    <hyperlink ref="M1199" r:id="rId1195" xr:uid="{00000000-0004-0000-1200-0000AA040000}"/>
    <hyperlink ref="M1200" r:id="rId1196" xr:uid="{00000000-0004-0000-1200-0000AB040000}"/>
    <hyperlink ref="M1201" r:id="rId1197" xr:uid="{00000000-0004-0000-1200-0000AC040000}"/>
    <hyperlink ref="M1202" r:id="rId1198" xr:uid="{00000000-0004-0000-1200-0000AD040000}"/>
    <hyperlink ref="M1203" r:id="rId1199" xr:uid="{00000000-0004-0000-1200-0000AE040000}"/>
    <hyperlink ref="M1204" r:id="rId1200" xr:uid="{00000000-0004-0000-1200-0000AF040000}"/>
    <hyperlink ref="M1205" r:id="rId1201" xr:uid="{00000000-0004-0000-1200-0000B0040000}"/>
    <hyperlink ref="M1206" r:id="rId1202" xr:uid="{00000000-0004-0000-1200-0000B1040000}"/>
    <hyperlink ref="M1207" r:id="rId1203" xr:uid="{00000000-0004-0000-1200-0000B2040000}"/>
    <hyperlink ref="M1208" r:id="rId1204" xr:uid="{00000000-0004-0000-1200-0000B3040000}"/>
    <hyperlink ref="M1209" r:id="rId1205" xr:uid="{00000000-0004-0000-1200-0000B4040000}"/>
    <hyperlink ref="M1210" r:id="rId1206" xr:uid="{00000000-0004-0000-1200-0000B5040000}"/>
    <hyperlink ref="M1211" r:id="rId1207" xr:uid="{00000000-0004-0000-1200-0000B6040000}"/>
    <hyperlink ref="M1212" r:id="rId1208" xr:uid="{00000000-0004-0000-1200-0000B7040000}"/>
    <hyperlink ref="M1213" r:id="rId1209" xr:uid="{00000000-0004-0000-1200-0000B8040000}"/>
    <hyperlink ref="M1214" r:id="rId1210" xr:uid="{00000000-0004-0000-1200-0000B9040000}"/>
    <hyperlink ref="M1215" r:id="rId1211" xr:uid="{00000000-0004-0000-1200-0000BA040000}"/>
    <hyperlink ref="M1216" r:id="rId1212" xr:uid="{00000000-0004-0000-1200-0000BB040000}"/>
    <hyperlink ref="M1217" r:id="rId1213" xr:uid="{00000000-0004-0000-1200-0000BC040000}"/>
    <hyperlink ref="M1218" r:id="rId1214" xr:uid="{00000000-0004-0000-1200-0000BD040000}"/>
    <hyperlink ref="M1219" r:id="rId1215" xr:uid="{00000000-0004-0000-1200-0000BE040000}"/>
    <hyperlink ref="M1220" r:id="rId1216" xr:uid="{00000000-0004-0000-1200-0000BF040000}"/>
    <hyperlink ref="M1221" r:id="rId1217" xr:uid="{00000000-0004-0000-1200-0000C0040000}"/>
    <hyperlink ref="M1222" r:id="rId1218" xr:uid="{00000000-0004-0000-1200-0000C1040000}"/>
    <hyperlink ref="M1223" r:id="rId1219" xr:uid="{00000000-0004-0000-1200-0000C2040000}"/>
    <hyperlink ref="M1224" r:id="rId1220" xr:uid="{00000000-0004-0000-1200-0000C3040000}"/>
    <hyperlink ref="M1225" r:id="rId1221" xr:uid="{00000000-0004-0000-1200-0000C4040000}"/>
    <hyperlink ref="M1226" r:id="rId1222" xr:uid="{00000000-0004-0000-1200-0000C5040000}"/>
    <hyperlink ref="M1227" r:id="rId1223" xr:uid="{00000000-0004-0000-1200-0000C6040000}"/>
    <hyperlink ref="M1228" r:id="rId1224" xr:uid="{00000000-0004-0000-1200-0000C7040000}"/>
    <hyperlink ref="M1229" r:id="rId1225" xr:uid="{00000000-0004-0000-1200-0000C8040000}"/>
    <hyperlink ref="M1230" r:id="rId1226" xr:uid="{00000000-0004-0000-1200-0000C9040000}"/>
    <hyperlink ref="M1231" r:id="rId1227" xr:uid="{00000000-0004-0000-1200-0000CA040000}"/>
    <hyperlink ref="M1232" r:id="rId1228" xr:uid="{00000000-0004-0000-1200-0000CB040000}"/>
    <hyperlink ref="M1233" r:id="rId1229" xr:uid="{00000000-0004-0000-1200-0000CC040000}"/>
    <hyperlink ref="M1234" r:id="rId1230" xr:uid="{00000000-0004-0000-1200-0000CD040000}"/>
    <hyperlink ref="M1235" r:id="rId1231" xr:uid="{00000000-0004-0000-1200-0000CE040000}"/>
    <hyperlink ref="M1236" r:id="rId1232" xr:uid="{00000000-0004-0000-1200-0000CF040000}"/>
    <hyperlink ref="M1237" r:id="rId1233" xr:uid="{00000000-0004-0000-1200-0000D0040000}"/>
    <hyperlink ref="M1238" r:id="rId1234" xr:uid="{00000000-0004-0000-1200-0000D1040000}"/>
    <hyperlink ref="M1239" r:id="rId1235" xr:uid="{00000000-0004-0000-1200-0000D2040000}"/>
    <hyperlink ref="M1240" r:id="rId1236" xr:uid="{00000000-0004-0000-1200-0000D3040000}"/>
    <hyperlink ref="M1241" r:id="rId1237" xr:uid="{00000000-0004-0000-1200-0000D4040000}"/>
    <hyperlink ref="M1242" r:id="rId1238" xr:uid="{00000000-0004-0000-1200-0000D5040000}"/>
    <hyperlink ref="M1243" r:id="rId1239" xr:uid="{00000000-0004-0000-1200-0000D6040000}"/>
    <hyperlink ref="M1244" r:id="rId1240" xr:uid="{00000000-0004-0000-1200-0000D7040000}"/>
    <hyperlink ref="M1245" r:id="rId1241" xr:uid="{00000000-0004-0000-1200-0000D8040000}"/>
    <hyperlink ref="M1246" r:id="rId1242" xr:uid="{00000000-0004-0000-1200-0000D9040000}"/>
    <hyperlink ref="M1247" r:id="rId1243" xr:uid="{00000000-0004-0000-1200-0000DA040000}"/>
    <hyperlink ref="M1248" r:id="rId1244" xr:uid="{00000000-0004-0000-1200-0000DB040000}"/>
    <hyperlink ref="M1249" r:id="rId1245" xr:uid="{00000000-0004-0000-1200-0000DC040000}"/>
    <hyperlink ref="M1250" r:id="rId1246" xr:uid="{00000000-0004-0000-1200-0000DD040000}"/>
    <hyperlink ref="M1251" r:id="rId1247" xr:uid="{00000000-0004-0000-1200-0000DE040000}"/>
    <hyperlink ref="M1252" r:id="rId1248" xr:uid="{00000000-0004-0000-1200-0000DF040000}"/>
    <hyperlink ref="M1253" r:id="rId1249" xr:uid="{00000000-0004-0000-1200-0000E0040000}"/>
    <hyperlink ref="M1254" r:id="rId1250" xr:uid="{00000000-0004-0000-1200-0000E1040000}"/>
    <hyperlink ref="M1255" r:id="rId1251" xr:uid="{00000000-0004-0000-1200-0000E2040000}"/>
    <hyperlink ref="M1256" r:id="rId1252" xr:uid="{00000000-0004-0000-1200-0000E3040000}"/>
    <hyperlink ref="M1257" r:id="rId1253" xr:uid="{00000000-0004-0000-1200-0000E4040000}"/>
    <hyperlink ref="M1258" r:id="rId1254" xr:uid="{00000000-0004-0000-1200-0000E5040000}"/>
    <hyperlink ref="M1259" r:id="rId1255" xr:uid="{00000000-0004-0000-1200-0000E6040000}"/>
    <hyperlink ref="M1260" r:id="rId1256" xr:uid="{00000000-0004-0000-1200-0000E7040000}"/>
    <hyperlink ref="M1261" r:id="rId1257" xr:uid="{00000000-0004-0000-1200-0000E8040000}"/>
    <hyperlink ref="M1262" r:id="rId1258" xr:uid="{00000000-0004-0000-1200-0000E9040000}"/>
    <hyperlink ref="M1263" r:id="rId1259" xr:uid="{00000000-0004-0000-1200-0000EA040000}"/>
    <hyperlink ref="M1264" r:id="rId1260" xr:uid="{00000000-0004-0000-1200-0000EB040000}"/>
    <hyperlink ref="M1265" r:id="rId1261" xr:uid="{00000000-0004-0000-1200-0000EC040000}"/>
    <hyperlink ref="M1266" r:id="rId1262" xr:uid="{00000000-0004-0000-1200-0000ED040000}"/>
    <hyperlink ref="M1267" r:id="rId1263" xr:uid="{00000000-0004-0000-1200-0000EE040000}"/>
    <hyperlink ref="M1268" r:id="rId1264" xr:uid="{00000000-0004-0000-1200-0000EF040000}"/>
    <hyperlink ref="M1269" r:id="rId1265" xr:uid="{00000000-0004-0000-1200-0000F0040000}"/>
    <hyperlink ref="M1270" r:id="rId1266" xr:uid="{00000000-0004-0000-1200-0000F1040000}"/>
    <hyperlink ref="M1271" r:id="rId1267" xr:uid="{00000000-0004-0000-1200-0000F2040000}"/>
    <hyperlink ref="M1272" r:id="rId1268" xr:uid="{00000000-0004-0000-1200-0000F3040000}"/>
    <hyperlink ref="M1273" r:id="rId1269" xr:uid="{00000000-0004-0000-1200-0000F4040000}"/>
    <hyperlink ref="M1274" r:id="rId1270" xr:uid="{00000000-0004-0000-1200-0000F5040000}"/>
    <hyperlink ref="M1275" r:id="rId1271" xr:uid="{00000000-0004-0000-1200-0000F6040000}"/>
    <hyperlink ref="M1276" r:id="rId1272" xr:uid="{00000000-0004-0000-1200-0000F7040000}"/>
    <hyperlink ref="M1277" r:id="rId1273" xr:uid="{00000000-0004-0000-1200-0000F8040000}"/>
    <hyperlink ref="M1278" r:id="rId1274" xr:uid="{00000000-0004-0000-1200-0000F9040000}"/>
    <hyperlink ref="M1279" r:id="rId1275" xr:uid="{00000000-0004-0000-1200-0000FA040000}"/>
    <hyperlink ref="M1280" r:id="rId1276" xr:uid="{00000000-0004-0000-1200-0000FB040000}"/>
    <hyperlink ref="M1281" r:id="rId1277" xr:uid="{00000000-0004-0000-1200-0000FC040000}"/>
    <hyperlink ref="M1282" r:id="rId1278" xr:uid="{00000000-0004-0000-1200-0000FD040000}"/>
    <hyperlink ref="M1283" r:id="rId1279" xr:uid="{00000000-0004-0000-1200-0000FE040000}"/>
    <hyperlink ref="M1284" r:id="rId1280" xr:uid="{00000000-0004-0000-1200-0000FF040000}"/>
    <hyperlink ref="M1285" r:id="rId1281" xr:uid="{00000000-0004-0000-1200-000000050000}"/>
    <hyperlink ref="M1286" r:id="rId1282" xr:uid="{00000000-0004-0000-1200-000001050000}"/>
    <hyperlink ref="M1287" r:id="rId1283" xr:uid="{00000000-0004-0000-1200-000002050000}"/>
    <hyperlink ref="M1288" r:id="rId1284" xr:uid="{00000000-0004-0000-1200-000003050000}"/>
    <hyperlink ref="M1289" r:id="rId1285" xr:uid="{00000000-0004-0000-1200-000004050000}"/>
    <hyperlink ref="M1290" r:id="rId1286" xr:uid="{00000000-0004-0000-1200-000005050000}"/>
    <hyperlink ref="M1291" r:id="rId1287" xr:uid="{00000000-0004-0000-1200-000006050000}"/>
    <hyperlink ref="M1292" r:id="rId1288" xr:uid="{00000000-0004-0000-1200-000007050000}"/>
    <hyperlink ref="M1293" r:id="rId1289" xr:uid="{00000000-0004-0000-1200-000008050000}"/>
    <hyperlink ref="M1294" r:id="rId1290" xr:uid="{00000000-0004-0000-1200-000009050000}"/>
    <hyperlink ref="M1295" r:id="rId1291" xr:uid="{00000000-0004-0000-1200-00000A050000}"/>
    <hyperlink ref="M1296" r:id="rId1292" xr:uid="{00000000-0004-0000-1200-00000B050000}"/>
    <hyperlink ref="M1297" r:id="rId1293" xr:uid="{00000000-0004-0000-1200-00000C050000}"/>
    <hyperlink ref="M1298" r:id="rId1294" xr:uid="{00000000-0004-0000-1200-00000D050000}"/>
    <hyperlink ref="M1299" r:id="rId1295" xr:uid="{00000000-0004-0000-1200-00000E050000}"/>
    <hyperlink ref="M1300" r:id="rId1296" xr:uid="{00000000-0004-0000-1200-00000F050000}"/>
    <hyperlink ref="M1301" r:id="rId1297" xr:uid="{00000000-0004-0000-1200-000010050000}"/>
    <hyperlink ref="M1302" r:id="rId1298" xr:uid="{00000000-0004-0000-1200-000011050000}"/>
    <hyperlink ref="M1303" r:id="rId1299" xr:uid="{00000000-0004-0000-1200-000012050000}"/>
    <hyperlink ref="M1304" r:id="rId1300" xr:uid="{00000000-0004-0000-1200-000013050000}"/>
    <hyperlink ref="M1305" r:id="rId1301" xr:uid="{00000000-0004-0000-1200-000014050000}"/>
    <hyperlink ref="M1306" r:id="rId1302" xr:uid="{00000000-0004-0000-1200-000015050000}"/>
    <hyperlink ref="M1307" r:id="rId1303" xr:uid="{00000000-0004-0000-1200-000016050000}"/>
    <hyperlink ref="M1308" r:id="rId1304" xr:uid="{00000000-0004-0000-1200-000017050000}"/>
    <hyperlink ref="M1309" r:id="rId1305" xr:uid="{00000000-0004-0000-1200-000018050000}"/>
    <hyperlink ref="M1310" r:id="rId1306" xr:uid="{00000000-0004-0000-1200-000019050000}"/>
    <hyperlink ref="M1311" r:id="rId1307" xr:uid="{00000000-0004-0000-1200-00001A050000}"/>
    <hyperlink ref="M1312" r:id="rId1308" xr:uid="{00000000-0004-0000-1200-00001B050000}"/>
    <hyperlink ref="M1313" r:id="rId1309" xr:uid="{00000000-0004-0000-1200-00001C050000}"/>
    <hyperlink ref="M1314" r:id="rId1310" xr:uid="{00000000-0004-0000-1200-00001D050000}"/>
    <hyperlink ref="M1315" r:id="rId1311" xr:uid="{00000000-0004-0000-1200-00001E050000}"/>
    <hyperlink ref="M1316" r:id="rId1312" xr:uid="{00000000-0004-0000-1200-00001F050000}"/>
    <hyperlink ref="M1317" r:id="rId1313" xr:uid="{00000000-0004-0000-1200-000020050000}"/>
    <hyperlink ref="M1318" r:id="rId1314" xr:uid="{00000000-0004-0000-1200-000021050000}"/>
    <hyperlink ref="M1319" r:id="rId1315" xr:uid="{00000000-0004-0000-1200-000022050000}"/>
    <hyperlink ref="M1320" r:id="rId1316" xr:uid="{00000000-0004-0000-1200-000023050000}"/>
    <hyperlink ref="M1321" r:id="rId1317" xr:uid="{00000000-0004-0000-1200-000024050000}"/>
    <hyperlink ref="M1322" r:id="rId1318" xr:uid="{00000000-0004-0000-1200-000025050000}"/>
    <hyperlink ref="M1323" r:id="rId1319" xr:uid="{00000000-0004-0000-1200-000026050000}"/>
    <hyperlink ref="M1324" r:id="rId1320" xr:uid="{00000000-0004-0000-1200-000027050000}"/>
    <hyperlink ref="M1325" r:id="rId1321" xr:uid="{00000000-0004-0000-1200-000028050000}"/>
    <hyperlink ref="M1326" r:id="rId1322" xr:uid="{00000000-0004-0000-1200-000029050000}"/>
    <hyperlink ref="M1327" r:id="rId1323" xr:uid="{00000000-0004-0000-1200-00002A050000}"/>
    <hyperlink ref="M1328" r:id="rId1324" xr:uid="{00000000-0004-0000-1200-00002B050000}"/>
    <hyperlink ref="M1329" r:id="rId1325" xr:uid="{00000000-0004-0000-1200-00002C050000}"/>
    <hyperlink ref="M1330" r:id="rId1326" xr:uid="{00000000-0004-0000-1200-00002D050000}"/>
    <hyperlink ref="M1331" r:id="rId1327" xr:uid="{00000000-0004-0000-1200-00002E050000}"/>
    <hyperlink ref="M1332" r:id="rId1328" xr:uid="{00000000-0004-0000-1200-00002F050000}"/>
    <hyperlink ref="M1333" r:id="rId1329" xr:uid="{00000000-0004-0000-1200-000030050000}"/>
    <hyperlink ref="M1334" r:id="rId1330" xr:uid="{00000000-0004-0000-1200-000031050000}"/>
    <hyperlink ref="M1335" r:id="rId1331" xr:uid="{00000000-0004-0000-1200-000032050000}"/>
    <hyperlink ref="M1336" r:id="rId1332" xr:uid="{00000000-0004-0000-1200-000033050000}"/>
    <hyperlink ref="M1337" r:id="rId1333" xr:uid="{00000000-0004-0000-1200-000034050000}"/>
    <hyperlink ref="M1338" r:id="rId1334" xr:uid="{00000000-0004-0000-1200-000035050000}"/>
    <hyperlink ref="M1339" r:id="rId1335" xr:uid="{00000000-0004-0000-1200-000036050000}"/>
    <hyperlink ref="M1340" r:id="rId1336" xr:uid="{00000000-0004-0000-1200-000037050000}"/>
    <hyperlink ref="M1341" r:id="rId1337" xr:uid="{00000000-0004-0000-1200-000038050000}"/>
    <hyperlink ref="M1342" r:id="rId1338" xr:uid="{00000000-0004-0000-1200-000039050000}"/>
    <hyperlink ref="M1343" r:id="rId1339" xr:uid="{00000000-0004-0000-1200-00003A050000}"/>
    <hyperlink ref="M1344" r:id="rId1340" xr:uid="{00000000-0004-0000-1200-00003B050000}"/>
    <hyperlink ref="M1345" r:id="rId1341" xr:uid="{00000000-0004-0000-1200-00003C050000}"/>
    <hyperlink ref="M1346" r:id="rId1342" xr:uid="{00000000-0004-0000-1200-00003D050000}"/>
    <hyperlink ref="M1347" r:id="rId1343" xr:uid="{00000000-0004-0000-1200-00003E050000}"/>
    <hyperlink ref="M1348" r:id="rId1344" xr:uid="{00000000-0004-0000-1200-00003F050000}"/>
    <hyperlink ref="M1349" r:id="rId1345" xr:uid="{00000000-0004-0000-1200-000040050000}"/>
    <hyperlink ref="M1350" r:id="rId1346" xr:uid="{00000000-0004-0000-1200-000041050000}"/>
    <hyperlink ref="M1351" r:id="rId1347" xr:uid="{00000000-0004-0000-1200-000042050000}"/>
    <hyperlink ref="M1352" r:id="rId1348" xr:uid="{00000000-0004-0000-1200-000043050000}"/>
    <hyperlink ref="M1353" r:id="rId1349" xr:uid="{00000000-0004-0000-1200-000044050000}"/>
    <hyperlink ref="M1354" r:id="rId1350" xr:uid="{00000000-0004-0000-1200-000045050000}"/>
    <hyperlink ref="M1355" r:id="rId1351" xr:uid="{00000000-0004-0000-1200-000046050000}"/>
    <hyperlink ref="M1356" r:id="rId1352" xr:uid="{00000000-0004-0000-1200-000047050000}"/>
    <hyperlink ref="M1357" r:id="rId1353" xr:uid="{00000000-0004-0000-1200-000048050000}"/>
    <hyperlink ref="M1358" r:id="rId1354" xr:uid="{00000000-0004-0000-1200-000049050000}"/>
    <hyperlink ref="M1359" r:id="rId1355" xr:uid="{00000000-0004-0000-1200-00004A050000}"/>
    <hyperlink ref="M1360" r:id="rId1356" xr:uid="{00000000-0004-0000-1200-00004B050000}"/>
    <hyperlink ref="M1361" r:id="rId1357" xr:uid="{00000000-0004-0000-1200-00004C050000}"/>
    <hyperlink ref="M1362" r:id="rId1358" xr:uid="{00000000-0004-0000-1200-00004D050000}"/>
    <hyperlink ref="M1363" r:id="rId1359" xr:uid="{00000000-0004-0000-1200-00004E050000}"/>
    <hyperlink ref="M1364" r:id="rId1360" xr:uid="{00000000-0004-0000-1200-00004F050000}"/>
    <hyperlink ref="M1365" r:id="rId1361" xr:uid="{00000000-0004-0000-1200-000050050000}"/>
    <hyperlink ref="M1366" r:id="rId1362" xr:uid="{00000000-0004-0000-1200-000051050000}"/>
    <hyperlink ref="M1367" r:id="rId1363" xr:uid="{00000000-0004-0000-1200-000052050000}"/>
    <hyperlink ref="M1368" r:id="rId1364" xr:uid="{00000000-0004-0000-1200-000053050000}"/>
    <hyperlink ref="M1369" r:id="rId1365" xr:uid="{00000000-0004-0000-1200-000054050000}"/>
    <hyperlink ref="M1370" r:id="rId1366" xr:uid="{00000000-0004-0000-1200-000055050000}"/>
    <hyperlink ref="M1371" r:id="rId1367" xr:uid="{00000000-0004-0000-1200-000056050000}"/>
    <hyperlink ref="M1372" r:id="rId1368" xr:uid="{00000000-0004-0000-1200-000057050000}"/>
    <hyperlink ref="M1373" r:id="rId1369" xr:uid="{00000000-0004-0000-1200-000058050000}"/>
    <hyperlink ref="M1374" r:id="rId1370" xr:uid="{00000000-0004-0000-1200-000059050000}"/>
    <hyperlink ref="M1375" r:id="rId1371" xr:uid="{00000000-0004-0000-1200-00005A050000}"/>
    <hyperlink ref="M1376" r:id="rId1372" xr:uid="{00000000-0004-0000-1200-00005B050000}"/>
    <hyperlink ref="M1377" r:id="rId1373" xr:uid="{00000000-0004-0000-1200-00005C050000}"/>
    <hyperlink ref="M1378" r:id="rId1374" xr:uid="{00000000-0004-0000-1200-00005D050000}"/>
    <hyperlink ref="M1379" r:id="rId1375" xr:uid="{00000000-0004-0000-1200-00005E050000}"/>
    <hyperlink ref="M1380" r:id="rId1376" xr:uid="{00000000-0004-0000-1200-00005F050000}"/>
    <hyperlink ref="M1381" r:id="rId1377" xr:uid="{00000000-0004-0000-1200-000060050000}"/>
    <hyperlink ref="M1382" r:id="rId1378" xr:uid="{00000000-0004-0000-1200-000061050000}"/>
    <hyperlink ref="M1383" r:id="rId1379" xr:uid="{00000000-0004-0000-1200-000062050000}"/>
    <hyperlink ref="M1384" r:id="rId1380" xr:uid="{00000000-0004-0000-1200-000063050000}"/>
    <hyperlink ref="M1385" r:id="rId1381" xr:uid="{00000000-0004-0000-1200-000064050000}"/>
    <hyperlink ref="M1386" r:id="rId1382" xr:uid="{00000000-0004-0000-1200-000065050000}"/>
    <hyperlink ref="M1387" r:id="rId1383" xr:uid="{00000000-0004-0000-1200-000066050000}"/>
    <hyperlink ref="M1388" r:id="rId1384" xr:uid="{00000000-0004-0000-1200-000067050000}"/>
    <hyperlink ref="M1389" r:id="rId1385" xr:uid="{00000000-0004-0000-1200-000068050000}"/>
    <hyperlink ref="M1390" r:id="rId1386" xr:uid="{00000000-0004-0000-1200-000069050000}"/>
    <hyperlink ref="M1391" r:id="rId1387" xr:uid="{00000000-0004-0000-1200-00006A050000}"/>
    <hyperlink ref="M1392" r:id="rId1388" xr:uid="{00000000-0004-0000-1200-00006B050000}"/>
    <hyperlink ref="M1393" r:id="rId1389" xr:uid="{00000000-0004-0000-1200-00006C050000}"/>
    <hyperlink ref="M1394" r:id="rId1390" xr:uid="{00000000-0004-0000-1200-00006D050000}"/>
    <hyperlink ref="M1395" r:id="rId1391" xr:uid="{00000000-0004-0000-1200-00006E050000}"/>
    <hyperlink ref="M1396" r:id="rId1392" xr:uid="{00000000-0004-0000-1200-00006F050000}"/>
    <hyperlink ref="M1397" r:id="rId1393" xr:uid="{00000000-0004-0000-1200-000070050000}"/>
    <hyperlink ref="M1398" r:id="rId1394" xr:uid="{00000000-0004-0000-1200-000071050000}"/>
    <hyperlink ref="M1399" r:id="rId1395" xr:uid="{00000000-0004-0000-1200-000072050000}"/>
    <hyperlink ref="M1400" r:id="rId1396" xr:uid="{00000000-0004-0000-1200-000073050000}"/>
    <hyperlink ref="M1401" r:id="rId1397" xr:uid="{00000000-0004-0000-1200-000074050000}"/>
    <hyperlink ref="M1402" r:id="rId1398" xr:uid="{00000000-0004-0000-1200-000075050000}"/>
    <hyperlink ref="M1403" r:id="rId1399" xr:uid="{00000000-0004-0000-1200-000076050000}"/>
    <hyperlink ref="M1404" r:id="rId1400" xr:uid="{00000000-0004-0000-1200-000077050000}"/>
    <hyperlink ref="M1405" r:id="rId1401" xr:uid="{00000000-0004-0000-1200-000078050000}"/>
    <hyperlink ref="M1406" r:id="rId1402" xr:uid="{00000000-0004-0000-1200-000079050000}"/>
    <hyperlink ref="M1407" r:id="rId1403" xr:uid="{00000000-0004-0000-1200-00007A050000}"/>
    <hyperlink ref="M1408" r:id="rId1404" xr:uid="{00000000-0004-0000-1200-00007B050000}"/>
    <hyperlink ref="M1409" r:id="rId1405" xr:uid="{00000000-0004-0000-1200-00007C050000}"/>
    <hyperlink ref="M1410" r:id="rId1406" xr:uid="{00000000-0004-0000-1200-00007D050000}"/>
    <hyperlink ref="M1411" r:id="rId1407" xr:uid="{00000000-0004-0000-1200-00007E050000}"/>
    <hyperlink ref="M1412" r:id="rId1408" xr:uid="{00000000-0004-0000-1200-00007F050000}"/>
    <hyperlink ref="M1413" r:id="rId1409" xr:uid="{00000000-0004-0000-1200-000080050000}"/>
    <hyperlink ref="M1414" r:id="rId1410" xr:uid="{00000000-0004-0000-1200-000081050000}"/>
    <hyperlink ref="M1415" r:id="rId1411" xr:uid="{00000000-0004-0000-1200-000082050000}"/>
    <hyperlink ref="M1416" r:id="rId1412" xr:uid="{00000000-0004-0000-1200-000083050000}"/>
    <hyperlink ref="M1417" r:id="rId1413" xr:uid="{00000000-0004-0000-1200-000084050000}"/>
    <hyperlink ref="M1418" r:id="rId1414" xr:uid="{00000000-0004-0000-1200-000085050000}"/>
    <hyperlink ref="M1419" r:id="rId1415" xr:uid="{00000000-0004-0000-1200-000086050000}"/>
    <hyperlink ref="M1420" r:id="rId1416" xr:uid="{00000000-0004-0000-1200-000087050000}"/>
  </hyperlinks>
  <pageMargins left="0.75" right="0.75" top="1" bottom="1" header="0.5" footer="0.5"/>
  <pageSetup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64</vt:i4>
      </vt:variant>
    </vt:vector>
  </HeadingPairs>
  <TitlesOfParts>
    <vt:vector size="83" baseType="lpstr">
      <vt:lpstr>Cover</vt:lpstr>
      <vt:lpstr>Summary</vt:lpstr>
      <vt:lpstr>Inputs</vt:lpstr>
      <vt:lpstr>Drivers</vt:lpstr>
      <vt:lpstr>Rev_Build</vt:lpstr>
      <vt:lpstr>IS</vt:lpstr>
      <vt:lpstr>BS</vt:lpstr>
      <vt:lpstr>CF</vt:lpstr>
      <vt:lpstr>Schedules</vt:lpstr>
      <vt:lpstr>Annual</vt:lpstr>
      <vt:lpstr>Unit_Econ</vt:lpstr>
      <vt:lpstr>Bridge</vt:lpstr>
      <vt:lpstr>Guidance</vt:lpstr>
      <vt:lpstr>Backtest</vt:lpstr>
      <vt:lpstr>Sensitivity</vt:lpstr>
      <vt:lpstr>Checks</vt:lpstr>
      <vt:lpstr>Hist_Q</vt:lpstr>
      <vt:lpstr>Hist_A</vt:lpstr>
      <vt:lpstr>Sources</vt:lpstr>
      <vt:lpstr>BpsPerUnit</vt:lpstr>
      <vt:lpstr>CheckStatus</vt:lpstr>
      <vt:lpstr>Drv_accr</vt:lpstr>
      <vt:lpstr>Drv_adds</vt:lpstr>
      <vt:lpstr>Drv_amort</vt:lpstr>
      <vt:lpstr>Drv_arpug</vt:lpstr>
      <vt:lpstr>Drv_buyback</vt:lpstr>
      <vt:lpstr>Drv_capex</vt:lpstr>
      <vt:lpstr>Drv_churn</vt:lpstr>
      <vt:lpstr>Drv_cpa</vt:lpstr>
      <vt:lpstr>Drv_defrev</vt:lpstr>
      <vt:lpstr>Drv_dep</vt:lpstr>
      <vt:lpstr>Drv_dio</vt:lpstr>
      <vt:lpstr>Drv_dpo</vt:lpstr>
      <vt:lpstr>Drv_dso</vt:lpstr>
      <vt:lpstr>Drv_etr</vt:lpstr>
      <vt:lpstr>Drv_fincost</vt:lpstr>
      <vt:lpstr>Drv_gag</vt:lpstr>
      <vt:lpstr>Drv_gm_sub</vt:lpstr>
      <vt:lpstr>Drv_gpvg</vt:lpstr>
      <vt:lpstr>Drv_hps_cost</vt:lpstr>
      <vt:lpstr>Drv_hps_rev</vt:lpstr>
      <vt:lpstr>Drv_hpsadd</vt:lpstr>
      <vt:lpstr>Drv_ngadd</vt:lpstr>
      <vt:lpstr>Drv_oca</vt:lpstr>
      <vt:lpstr>Drv_onca</vt:lpstr>
      <vt:lpstr>Drv_otheradj</vt:lpstr>
      <vt:lpstr>Drv_othfin</vt:lpstr>
      <vt:lpstr>Drv_othinc</vt:lpstr>
      <vt:lpstr>Drv_rdg</vt:lpstr>
      <vt:lpstr>Drv_restr</vt:lpstr>
      <vt:lpstr>Drv_sbc</vt:lpstr>
      <vt:lpstr>Drv_secbuy</vt:lpstr>
      <vt:lpstr>Drv_svc</vt:lpstr>
      <vt:lpstr>Drv_take</vt:lpstr>
      <vt:lpstr>Drv_yield</vt:lpstr>
      <vt:lpstr>FirstForecastYear</vt:lpstr>
      <vt:lpstr>FirstPeriodEnd</vt:lpstr>
      <vt:lpstr>ForecastYears</vt:lpstr>
      <vt:lpstr>FXEffect</vt:lpstr>
      <vt:lpstr>LastActualEnd</vt:lpstr>
      <vt:lpstr>Mn</vt:lpstr>
      <vt:lpstr>MnPerBn</vt:lpstr>
      <vt:lpstr>MonthsPerQuarter</vt:lpstr>
      <vt:lpstr>PaybackYears</vt:lpstr>
      <vt:lpstr>QuartersPerYear</vt:lpstr>
      <vt:lpstr>Scenario</vt:lpstr>
      <vt:lpstr>ScenarioActive</vt:lpstr>
      <vt:lpstr>ScenarioName</vt:lpstr>
      <vt:lpstr>ScenarioOverride</vt:lpstr>
      <vt:lpstr>SeasFrom</vt:lpstr>
      <vt:lpstr>SeasTo</vt:lpstr>
      <vt:lpstr>Sens_FinCostBps</vt:lpstr>
      <vt:lpstr>Sens_GPVg</vt:lpstr>
      <vt:lpstr>Sens_NetAdds</vt:lpstr>
      <vt:lpstr>Sens_TakeBps</vt:lpstr>
      <vt:lpstr>SMWhatIf</vt:lpstr>
      <vt:lpstr>Src_Key</vt:lpstr>
      <vt:lpstr>Src_PK</vt:lpstr>
      <vt:lpstr>Src_Val</vt:lpstr>
      <vt:lpstr>Thousand</vt:lpstr>
      <vt:lpstr>TolExact</vt:lpstr>
      <vt:lpstr>TolRecon</vt:lpstr>
      <vt:lpstr>TolRounding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Toast, Inc. driver-based operating model (SEC filings)</dc:title>
  <dcterms:created xsi:type="dcterms:W3CDTF">2026-10-22T00:33:04Z</dcterms:created>
  <dcterms:modified xsi:type="dcterms:W3CDTF">2026-10-22T00:33:54Z</dcterms:modified>
</cp:coreProperties>
</file>