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xr:revisionPtr revIDLastSave="0" documentId="13_ncr:1_{94ECD630-ABA8-4F2C-B190-94EFDBEE1ACA}" xr6:coauthVersionLast="47" xr6:coauthVersionMax="47" xr10:uidLastSave="{00000000-0000-0000-0000-000000000000}"/>
  <bookViews>
    <workbookView xWindow="1837" yWindow="1837" windowWidth="21600" windowHeight="11333" xr2:uid="{00000000-000D-0000-FFFF-FFFF00000000}"/>
  </bookViews>
  <sheets>
    <sheet name="Cover" sheetId="1" r:id="rId1"/>
    <sheet name="Inputs" sheetId="2" r:id="rId2"/>
    <sheet name="History" sheetId="3" r:id="rId3"/>
    <sheet name="CallCost" sheetId="4" r:id="rId4"/>
    <sheet name="Model" sheetId="5" r:id="rId5"/>
    <sheet name="Engine" sheetId="6" r:id="rId6"/>
    <sheet name="Sensitivity" sheetId="7" r:id="rId7"/>
    <sheet name="Reconcile" sheetId="8" r:id="rId8"/>
    <sheet name="Checks" sheetId="9" r:id="rId9"/>
  </sheets>
  <definedNames>
    <definedName name="AdoptBreak">Model!$D$48</definedName>
    <definedName name="AdoptBreakLow">Model!$D$54</definedName>
    <definedName name="ARPU">Model!$D$7</definedName>
    <definedName name="ArpuDiff">History!$E$20:$E$21</definedName>
    <definedName name="BudgetPerCaller">Model!$D$36</definedName>
    <definedName name="BudgetPlan">Model!$D$11</definedName>
    <definedName name="BudgetQ">Model!$D$10</definedName>
    <definedName name="CallsInAllowance">Model!$D$53</definedName>
    <definedName name="CapFlag">Model!$D$37</definedName>
    <definedName name="CapLow">Model!$D$49</definedName>
    <definedName name="CapMini">Model!$D$38</definedName>
    <definedName name="CapPlanRaw">Model!$D$39</definedName>
    <definedName name="CapStep">Inputs!$D$39</definedName>
    <definedName name="CBreak">Model!$D$55</definedName>
    <definedName name="CheckStatus">Checks!$C$28</definedName>
    <definedName name="CostPerCallerLow">Model!$D$50</definedName>
    <definedName name="CtxShareFlag">Model!$D$51</definedName>
    <definedName name="D_adoptMax">Inputs!$H$49</definedName>
    <definedName name="D_adoptSuper">Inputs!$H$48</definedName>
    <definedName name="D_c">Inputs!$H$54</definedName>
    <definedName name="D_callsScale">Inputs!$H$50</definedName>
    <definedName name="D_headroom">Inputs!$H$57</definedName>
    <definedName name="D_L">Inputs!$H$51</definedName>
    <definedName name="D_maxShare">Inputs!$H$47</definedName>
    <definedName name="D_r">Inputs!$H$53</definedName>
    <definedName name="D_realization">Inputs!$H$56</definedName>
    <definedName name="D_s">Inputs!$H$52</definedName>
    <definedName name="D_sysTok">Inputs!$H$55</definedName>
    <definedName name="D_usage2025">Inputs!$H$58</definedName>
    <definedName name="F_gmQ124">Inputs!$D$13</definedName>
    <definedName name="F_gmQ125">Inputs!$D$12</definedName>
    <definedName name="F_gmQ4">Inputs!$D$10</definedName>
    <definedName name="F_paidQ1">Inputs!$D$8</definedName>
    <definedName name="F_paidQ125">Inputs!$D$15</definedName>
    <definedName name="F_paidQ2">Inputs!$D$9</definedName>
    <definedName name="F_paidQ424">Inputs!$D$14</definedName>
    <definedName name="F_rev">Inputs!$D$6</definedName>
    <definedName name="F_revQ125">Inputs!$D$11</definedName>
    <definedName name="F_subRev">Inputs!$D$7</definedName>
    <definedName name="FlagKey">Inputs!$D$35</definedName>
    <definedName name="GMb">Model!$D$8</definedName>
    <definedName name="HeavyMin">Model!$D$52</definedName>
    <definedName name="HistDiff">History!$G$6:$G$15</definedName>
    <definedName name="HistKey">Inputs!$D$37</definedName>
    <definedName name="IdxFlag">Inputs!$D$41</definedName>
    <definedName name="IdxHist">Inputs!$D$43</definedName>
    <definedName name="IdxMini">Inputs!$D$42</definedName>
    <definedName name="J_adoptMax_hi">Inputs!$F$49</definedName>
    <definedName name="J_adoptMax_lo">Inputs!$E$49</definedName>
    <definedName name="J_adoptSuper_hi">Inputs!$F$48</definedName>
    <definedName name="J_adoptSuper_lo">Inputs!$E$48</definedName>
    <definedName name="J_c_hi">Inputs!$F$54</definedName>
    <definedName name="J_c_lo">Inputs!$E$54</definedName>
    <definedName name="J_callsScale_hi">Inputs!$F$50</definedName>
    <definedName name="J_callsScale_lo">Inputs!$E$50</definedName>
    <definedName name="J_headroom_hi">Inputs!$F$57</definedName>
    <definedName name="J_headroom_lo">Inputs!$E$57</definedName>
    <definedName name="J_L_hi">Inputs!$F$51</definedName>
    <definedName name="J_L_lo">Inputs!$E$51</definedName>
    <definedName name="J_maxShare_hi">Inputs!$F$47</definedName>
    <definedName name="J_maxShare_lo">Inputs!$E$47</definedName>
    <definedName name="J_r_hi">Inputs!$F$53</definedName>
    <definedName name="J_r_lo">Inputs!$E$53</definedName>
    <definedName name="J_realization_hi">Inputs!$F$56</definedName>
    <definedName name="J_realization_lo">Inputs!$E$56</definedName>
    <definedName name="J_s_hi">Inputs!$F$52</definedName>
    <definedName name="J_s_lo">Inputs!$E$52</definedName>
    <definedName name="J_sysTok_hi">Inputs!$F$55</definedName>
    <definedName name="J_sysTok_lo">Inputs!$E$55</definedName>
    <definedName name="J_usage2025_hi">Inputs!$F$58</definedName>
    <definedName name="J_usage2025_lo">Inputs!$E$58</definedName>
    <definedName name="ListAudioCached">Inputs!$E$19:$E$24</definedName>
    <definedName name="ListAudioIn">Inputs!$D$19:$D$24</definedName>
    <definedName name="ListAudioOut">Inputs!$F$19:$F$24</definedName>
    <definedName name="ListKeys">Inputs!$B$19:$B$24</definedName>
    <definedName name="ListTextCached">Inputs!$H$19:$H$24</definedName>
    <definedName name="ListTextIn">Inputs!$G$19:$G$24</definedName>
    <definedName name="MiniKey">Inputs!$D$36</definedName>
    <definedName name="MinIn">Inputs!$D$27</definedName>
    <definedName name="MinOut">Inputs!$D$29</definedName>
    <definedName name="MixMini">Model!$D$41</definedName>
    <definedName name="NoCap">Inputs!$D$40</definedName>
    <definedName name="PaidAvg">Model!$D$6</definedName>
    <definedName name="PIn">Inputs!$D$28</definedName>
    <definedName name="PlanCap">Model!$D$40</definedName>
    <definedName name="POut">Inputs!$D$30</definedName>
    <definedName name="PriceGpFlag">Model!$D$45</definedName>
    <definedName name="PriceGpMini">Model!$D$46</definedName>
    <definedName name="PriceHoldFlag">Model!$D$43</definedName>
    <definedName name="PriceHoldMini">Model!$D$44</definedName>
    <definedName name="RealizationMini">Model!$D$47</definedName>
    <definedName name="Rev">Model!$D$5</definedName>
    <definedName name="S_adoptSuper_base">Inputs!$E$68</definedName>
    <definedName name="S_adoptSuper_bear">Inputs!$D$68</definedName>
    <definedName name="S_adoptSuper_bull">Inputs!$F$68</definedName>
    <definedName name="S_c_base">Inputs!$E$70</definedName>
    <definedName name="S_c_bear">Inputs!$D$70</definedName>
    <definedName name="S_c_bull">Inputs!$F$70</definedName>
    <definedName name="S_callsScale_base">Inputs!$E$69</definedName>
    <definedName name="S_callsScale_bear">Inputs!$D$69</definedName>
    <definedName name="S_callsScale_bull">Inputs!$F$69</definedName>
    <definedName name="SetCells">Inputs!$G$47:$G$58</definedName>
    <definedName name="SuperRevQ">Model!$D$42</definedName>
    <definedName name="T_calls1">Inputs!$E$62</definedName>
    <definedName name="T_calls2">Inputs!$E$63</definedName>
    <definedName name="T_calls3">Inputs!$E$64</definedName>
    <definedName name="T_share1">Inputs!$D$62</definedName>
    <definedName name="T_share2">Inputs!$D$63</definedName>
    <definedName name="T_share3">Inputs!$D$64</definedName>
    <definedName name="Target">Inputs!$D$38</definedName>
    <definedName name="TargetM">Model!$D$9</definedName>
    <definedName name="TokIn">Inputs!$D$31</definedName>
    <definedName name="TokOut">Inputs!$D$32</definedName>
    <definedName name="Top1Idx">Sensitivity!$C$15</definedName>
    <definedName name="Top2Idx">Sensitivity!$C$16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6" i="9" l="1"/>
  <c r="E26" i="9" s="1"/>
  <c r="C9" i="9"/>
  <c r="E9" i="9" s="1"/>
  <c r="C8" i="9"/>
  <c r="E8" i="9" s="1"/>
  <c r="D12" i="8"/>
  <c r="D13" i="8" s="1"/>
  <c r="D9" i="8"/>
  <c r="D13" i="7"/>
  <c r="C13" i="7"/>
  <c r="D12" i="7"/>
  <c r="C12" i="7"/>
  <c r="D11" i="7"/>
  <c r="C11" i="7"/>
  <c r="D10" i="7"/>
  <c r="C10" i="7"/>
  <c r="D9" i="7"/>
  <c r="C9" i="7"/>
  <c r="D8" i="7"/>
  <c r="C8" i="7"/>
  <c r="D7" i="7"/>
  <c r="C7" i="7"/>
  <c r="D6" i="7"/>
  <c r="C6" i="7"/>
  <c r="D5" i="7"/>
  <c r="C5" i="7"/>
  <c r="N128" i="6"/>
  <c r="M128" i="6"/>
  <c r="I128" i="6"/>
  <c r="D128" i="6"/>
  <c r="N127" i="6"/>
  <c r="M127" i="6"/>
  <c r="D127" i="6"/>
  <c r="N126" i="6"/>
  <c r="N125" i="6"/>
  <c r="N124" i="6"/>
  <c r="M123" i="6"/>
  <c r="N122" i="6"/>
  <c r="N121" i="6"/>
  <c r="N120" i="6"/>
  <c r="N119" i="6"/>
  <c r="I119" i="6"/>
  <c r="N118" i="6"/>
  <c r="I118" i="6"/>
  <c r="N117" i="6"/>
  <c r="M117" i="6"/>
  <c r="N116" i="6"/>
  <c r="M116" i="6"/>
  <c r="N115" i="6"/>
  <c r="M115" i="6"/>
  <c r="N114" i="6"/>
  <c r="M114" i="6"/>
  <c r="L114" i="6"/>
  <c r="N113" i="6"/>
  <c r="M113" i="6"/>
  <c r="N112" i="6"/>
  <c r="M112" i="6"/>
  <c r="N111" i="6"/>
  <c r="M111" i="6"/>
  <c r="N110" i="6"/>
  <c r="M110" i="6"/>
  <c r="N109" i="6"/>
  <c r="M109" i="6"/>
  <c r="N108" i="6"/>
  <c r="M108" i="6"/>
  <c r="N107" i="6"/>
  <c r="M107" i="6"/>
  <c r="N106" i="6"/>
  <c r="M106" i="6"/>
  <c r="N105" i="6"/>
  <c r="M105" i="6"/>
  <c r="N104" i="6"/>
  <c r="M104" i="6"/>
  <c r="N103" i="6"/>
  <c r="M103" i="6"/>
  <c r="N102" i="6"/>
  <c r="M102" i="6"/>
  <c r="N101" i="6"/>
  <c r="M101" i="6"/>
  <c r="N100" i="6"/>
  <c r="M100" i="6"/>
  <c r="N99" i="6"/>
  <c r="M99" i="6"/>
  <c r="N98" i="6"/>
  <c r="M98" i="6"/>
  <c r="N97" i="6"/>
  <c r="M97" i="6"/>
  <c r="N96" i="6"/>
  <c r="M96" i="6"/>
  <c r="N95" i="6"/>
  <c r="M95" i="6"/>
  <c r="N94" i="6"/>
  <c r="M94" i="6"/>
  <c r="N93" i="6"/>
  <c r="M93" i="6"/>
  <c r="N92" i="6"/>
  <c r="M92" i="6"/>
  <c r="N91" i="6"/>
  <c r="M91" i="6"/>
  <c r="N90" i="6"/>
  <c r="M90" i="6"/>
  <c r="N89" i="6"/>
  <c r="M89" i="6"/>
  <c r="N88" i="6"/>
  <c r="M88" i="6"/>
  <c r="N87" i="6"/>
  <c r="M87" i="6"/>
  <c r="N86" i="6"/>
  <c r="M86" i="6"/>
  <c r="N85" i="6"/>
  <c r="M85" i="6"/>
  <c r="N84" i="6"/>
  <c r="M84" i="6"/>
  <c r="N83" i="6"/>
  <c r="M83" i="6"/>
  <c r="N82" i="6"/>
  <c r="M82" i="6"/>
  <c r="N81" i="6"/>
  <c r="M81" i="6"/>
  <c r="N80" i="6"/>
  <c r="M80" i="6"/>
  <c r="N79" i="6"/>
  <c r="M79" i="6"/>
  <c r="N78" i="6"/>
  <c r="M78" i="6"/>
  <c r="N77" i="6"/>
  <c r="M77" i="6"/>
  <c r="N76" i="6"/>
  <c r="M76" i="6"/>
  <c r="N75" i="6"/>
  <c r="M75" i="6"/>
  <c r="N74" i="6"/>
  <c r="M74" i="6"/>
  <c r="N73" i="6"/>
  <c r="M73" i="6"/>
  <c r="N72" i="6"/>
  <c r="M72" i="6"/>
  <c r="N71" i="6"/>
  <c r="M71" i="6"/>
  <c r="N70" i="6"/>
  <c r="M70" i="6"/>
  <c r="N69" i="6"/>
  <c r="M69" i="6"/>
  <c r="N68" i="6"/>
  <c r="M68" i="6"/>
  <c r="N67" i="6"/>
  <c r="N66" i="6"/>
  <c r="N65" i="6"/>
  <c r="N64" i="6"/>
  <c r="N63" i="6"/>
  <c r="L63" i="6"/>
  <c r="X63" i="6" s="1"/>
  <c r="N62" i="6"/>
  <c r="N61" i="6"/>
  <c r="N60" i="6"/>
  <c r="N59" i="6"/>
  <c r="N58" i="6"/>
  <c r="N57" i="6"/>
  <c r="N56" i="6"/>
  <c r="N55" i="6"/>
  <c r="N54" i="6"/>
  <c r="N53" i="6"/>
  <c r="L53" i="6"/>
  <c r="X53" i="6" s="1"/>
  <c r="N52" i="6"/>
  <c r="N51" i="6"/>
  <c r="N50" i="6"/>
  <c r="N49" i="6"/>
  <c r="N48" i="6"/>
  <c r="N47" i="6"/>
  <c r="N46" i="6"/>
  <c r="N45" i="6"/>
  <c r="N44" i="6"/>
  <c r="N43" i="6"/>
  <c r="N42" i="6"/>
  <c r="K42" i="6"/>
  <c r="N41" i="6"/>
  <c r="K41" i="6"/>
  <c r="N40" i="6"/>
  <c r="J40" i="6"/>
  <c r="N39" i="6"/>
  <c r="J39" i="6"/>
  <c r="N38" i="6"/>
  <c r="I38" i="6"/>
  <c r="N37" i="6"/>
  <c r="I37" i="6"/>
  <c r="N36" i="6"/>
  <c r="H36" i="6"/>
  <c r="N35" i="6"/>
  <c r="H35" i="6"/>
  <c r="N34" i="6"/>
  <c r="G34" i="6"/>
  <c r="C34" i="6"/>
  <c r="N33" i="6"/>
  <c r="G33" i="6"/>
  <c r="N32" i="6"/>
  <c r="F32" i="6"/>
  <c r="N31" i="6"/>
  <c r="F31" i="6"/>
  <c r="N30" i="6"/>
  <c r="E30" i="6"/>
  <c r="N29" i="6"/>
  <c r="E29" i="6"/>
  <c r="N28" i="6"/>
  <c r="D28" i="6"/>
  <c r="N27" i="6"/>
  <c r="D27" i="6"/>
  <c r="N26" i="6"/>
  <c r="C26" i="6"/>
  <c r="N25" i="6"/>
  <c r="C25" i="6"/>
  <c r="M24" i="6"/>
  <c r="I24" i="6"/>
  <c r="E24" i="6"/>
  <c r="D24" i="6"/>
  <c r="N23" i="6"/>
  <c r="L23" i="6"/>
  <c r="V23" i="6" s="1"/>
  <c r="I23" i="6"/>
  <c r="E23" i="6"/>
  <c r="D23" i="6"/>
  <c r="N22" i="6"/>
  <c r="I22" i="6"/>
  <c r="E22" i="6"/>
  <c r="D22" i="6"/>
  <c r="N21" i="6"/>
  <c r="M21" i="6"/>
  <c r="I21" i="6"/>
  <c r="E21" i="6"/>
  <c r="D21" i="6"/>
  <c r="N20" i="6"/>
  <c r="M20" i="6"/>
  <c r="I20" i="6"/>
  <c r="E20" i="6"/>
  <c r="D20" i="6"/>
  <c r="M19" i="6"/>
  <c r="N18" i="6"/>
  <c r="N17" i="6"/>
  <c r="N16" i="6"/>
  <c r="M16" i="6"/>
  <c r="N15" i="6"/>
  <c r="M15" i="6"/>
  <c r="M14" i="6"/>
  <c r="I14" i="6"/>
  <c r="E14" i="6"/>
  <c r="D14" i="6"/>
  <c r="N13" i="6"/>
  <c r="I13" i="6"/>
  <c r="E13" i="6"/>
  <c r="D13" i="6"/>
  <c r="N12" i="6"/>
  <c r="I12" i="6"/>
  <c r="E12" i="6"/>
  <c r="D12" i="6"/>
  <c r="N11" i="6"/>
  <c r="M11" i="6"/>
  <c r="I11" i="6"/>
  <c r="E11" i="6"/>
  <c r="D11" i="6"/>
  <c r="N10" i="6"/>
  <c r="M10" i="6"/>
  <c r="I10" i="6"/>
  <c r="E10" i="6"/>
  <c r="D10" i="6"/>
  <c r="M9" i="6"/>
  <c r="N8" i="6"/>
  <c r="N7" i="6"/>
  <c r="N6" i="6"/>
  <c r="M6" i="6"/>
  <c r="N5" i="6"/>
  <c r="M5" i="6"/>
  <c r="G17" i="5"/>
  <c r="F17" i="5"/>
  <c r="E17" i="5"/>
  <c r="D17" i="5"/>
  <c r="H16" i="5"/>
  <c r="E16" i="5"/>
  <c r="D16" i="5"/>
  <c r="D9" i="5"/>
  <c r="C12" i="1" s="1"/>
  <c r="D8" i="5"/>
  <c r="D6" i="5"/>
  <c r="D5" i="5"/>
  <c r="I18" i="4"/>
  <c r="H18" i="4"/>
  <c r="F18" i="4"/>
  <c r="D18" i="4"/>
  <c r="I17" i="4"/>
  <c r="H17" i="4"/>
  <c r="I14" i="4"/>
  <c r="H14" i="4"/>
  <c r="G14" i="4"/>
  <c r="F14" i="4"/>
  <c r="I6" i="4"/>
  <c r="H6" i="4"/>
  <c r="G6" i="4"/>
  <c r="F6" i="4"/>
  <c r="E6" i="4"/>
  <c r="E14" i="4" s="1"/>
  <c r="D6" i="4"/>
  <c r="D16" i="4" s="1"/>
  <c r="J15" i="3"/>
  <c r="K15" i="3" s="1"/>
  <c r="E15" i="3"/>
  <c r="D25" i="8" s="1"/>
  <c r="J14" i="3"/>
  <c r="K14" i="3" s="1"/>
  <c r="E14" i="3"/>
  <c r="G14" i="3" s="1"/>
  <c r="J13" i="3"/>
  <c r="K13" i="3" s="1"/>
  <c r="E13" i="3"/>
  <c r="G13" i="3" s="1"/>
  <c r="J12" i="3"/>
  <c r="K12" i="3" s="1"/>
  <c r="E12" i="3"/>
  <c r="G12" i="3" s="1"/>
  <c r="J11" i="3"/>
  <c r="K11" i="3" s="1"/>
  <c r="E11" i="3"/>
  <c r="G11" i="3" s="1"/>
  <c r="J10" i="3"/>
  <c r="K10" i="3" s="1"/>
  <c r="E10" i="3"/>
  <c r="G10" i="3" s="1"/>
  <c r="J9" i="3"/>
  <c r="K9" i="3" s="1"/>
  <c r="E9" i="3"/>
  <c r="G9" i="3" s="1"/>
  <c r="J8" i="3"/>
  <c r="K8" i="3" s="1"/>
  <c r="E8" i="3"/>
  <c r="G8" i="3" s="1"/>
  <c r="J7" i="3"/>
  <c r="K7" i="3" s="1"/>
  <c r="E7" i="3"/>
  <c r="G7" i="3" s="1"/>
  <c r="J6" i="3"/>
  <c r="K6" i="3" s="1"/>
  <c r="E6" i="3"/>
  <c r="G6" i="3" s="1"/>
  <c r="H58" i="2"/>
  <c r="H57" i="2"/>
  <c r="H56" i="2"/>
  <c r="K75" i="6" s="1"/>
  <c r="H55" i="2"/>
  <c r="J75" i="6" s="1"/>
  <c r="H54" i="2"/>
  <c r="I75" i="6" s="1"/>
  <c r="H53" i="2"/>
  <c r="H39" i="6" s="1"/>
  <c r="H52" i="2"/>
  <c r="G114" i="6" s="1"/>
  <c r="H51" i="2"/>
  <c r="F114" i="6" s="1"/>
  <c r="H50" i="2"/>
  <c r="E76" i="6" s="1"/>
  <c r="H49" i="2"/>
  <c r="H48" i="2"/>
  <c r="D112" i="6" s="1"/>
  <c r="H47" i="2"/>
  <c r="C96" i="6" s="1"/>
  <c r="D43" i="2"/>
  <c r="D5" i="8" s="1"/>
  <c r="D42" i="2"/>
  <c r="L112" i="6" s="1"/>
  <c r="D41" i="2"/>
  <c r="L117" i="6" s="1"/>
  <c r="D32" i="2"/>
  <c r="D31" i="2"/>
  <c r="L6" i="6" l="1"/>
  <c r="L27" i="6"/>
  <c r="L51" i="6"/>
  <c r="L12" i="3"/>
  <c r="D21" i="3" s="1"/>
  <c r="E21" i="3" s="1"/>
  <c r="L13" i="3"/>
  <c r="L26" i="6"/>
  <c r="X26" i="6" s="1"/>
  <c r="D15" i="4"/>
  <c r="E15" i="4"/>
  <c r="L32" i="6"/>
  <c r="X32" i="6" s="1"/>
  <c r="E16" i="4"/>
  <c r="J114" i="6"/>
  <c r="I5" i="6"/>
  <c r="K5" i="6"/>
  <c r="J87" i="6"/>
  <c r="J70" i="6"/>
  <c r="J101" i="6"/>
  <c r="J116" i="6"/>
  <c r="J89" i="6"/>
  <c r="J104" i="6"/>
  <c r="J11" i="6"/>
  <c r="J76" i="6"/>
  <c r="J10" i="6"/>
  <c r="I89" i="6"/>
  <c r="I76" i="6"/>
  <c r="I70" i="6"/>
  <c r="I116" i="6"/>
  <c r="I112" i="6"/>
  <c r="I101" i="6"/>
  <c r="I90" i="6"/>
  <c r="H76" i="6"/>
  <c r="H89" i="6"/>
  <c r="H5" i="6"/>
  <c r="H128" i="6"/>
  <c r="K73" i="6"/>
  <c r="K6" i="6"/>
  <c r="J36" i="6"/>
  <c r="J5" i="6"/>
  <c r="J106" i="6"/>
  <c r="J26" i="6"/>
  <c r="J7" i="6"/>
  <c r="J9" i="6"/>
  <c r="J42" i="6"/>
  <c r="I91" i="6"/>
  <c r="I39" i="6"/>
  <c r="I42" i="6"/>
  <c r="I40" i="6"/>
  <c r="F13" i="6"/>
  <c r="AA13" i="6" s="1"/>
  <c r="C36" i="6"/>
  <c r="AI36" i="6" s="1"/>
  <c r="C19" i="6"/>
  <c r="AI19" i="6" s="1"/>
  <c r="C11" i="6"/>
  <c r="AI11" i="6" s="1"/>
  <c r="AJ11" i="6" s="1"/>
  <c r="C128" i="6"/>
  <c r="AI128" i="6" s="1"/>
  <c r="AJ128" i="6" s="1"/>
  <c r="C28" i="6"/>
  <c r="AI28" i="6" s="1"/>
  <c r="AJ28" i="6" s="1"/>
  <c r="C20" i="6"/>
  <c r="AI20" i="6" s="1"/>
  <c r="AJ20" i="6" s="1"/>
  <c r="C94" i="6"/>
  <c r="AI94" i="6" s="1"/>
  <c r="C70" i="6"/>
  <c r="AI70" i="6" s="1"/>
  <c r="C109" i="6"/>
  <c r="AI109" i="6" s="1"/>
  <c r="C74" i="6"/>
  <c r="AI74" i="6" s="1"/>
  <c r="K103" i="6"/>
  <c r="K37" i="6"/>
  <c r="K29" i="6"/>
  <c r="K84" i="6"/>
  <c r="K28" i="6"/>
  <c r="J71" i="6"/>
  <c r="J123" i="6"/>
  <c r="J6" i="6"/>
  <c r="J34" i="6"/>
  <c r="J97" i="6"/>
  <c r="J110" i="6"/>
  <c r="J24" i="6"/>
  <c r="J35" i="6"/>
  <c r="I34" i="6"/>
  <c r="I71" i="6"/>
  <c r="I123" i="6"/>
  <c r="I9" i="6"/>
  <c r="I83" i="6"/>
  <c r="I110" i="6"/>
  <c r="I97" i="6"/>
  <c r="I106" i="6"/>
  <c r="I96" i="6"/>
  <c r="I36" i="6"/>
  <c r="I87" i="6"/>
  <c r="I74" i="6"/>
  <c r="H34" i="6"/>
  <c r="H96" i="6"/>
  <c r="F94" i="6"/>
  <c r="F119" i="6"/>
  <c r="F39" i="6"/>
  <c r="O39" i="6" s="1"/>
  <c r="S39" i="6" s="1"/>
  <c r="F34" i="6"/>
  <c r="F74" i="6"/>
  <c r="F115" i="6"/>
  <c r="P34" i="6"/>
  <c r="F36" i="6"/>
  <c r="P36" i="6" s="1"/>
  <c r="C75" i="6"/>
  <c r="AI75" i="6" s="1"/>
  <c r="C99" i="6"/>
  <c r="AI99" i="6" s="1"/>
  <c r="C13" i="6"/>
  <c r="AI13" i="6" s="1"/>
  <c r="AJ13" i="6" s="1"/>
  <c r="C41" i="6"/>
  <c r="AI41" i="6" s="1"/>
  <c r="K96" i="6"/>
  <c r="K116" i="6"/>
  <c r="K85" i="6"/>
  <c r="K9" i="6"/>
  <c r="K97" i="6"/>
  <c r="K17" i="6"/>
  <c r="K90" i="6"/>
  <c r="K104" i="6"/>
  <c r="K118" i="6"/>
  <c r="K98" i="6"/>
  <c r="K26" i="6"/>
  <c r="K82" i="6"/>
  <c r="K101" i="6"/>
  <c r="K7" i="6"/>
  <c r="K14" i="6"/>
  <c r="K10" i="6"/>
  <c r="K89" i="6"/>
  <c r="K19" i="6"/>
  <c r="K35" i="6"/>
  <c r="K70" i="6"/>
  <c r="K71" i="6"/>
  <c r="K125" i="6"/>
  <c r="K87" i="6"/>
  <c r="K18" i="6"/>
  <c r="K110" i="6"/>
  <c r="K123" i="6"/>
  <c r="K27" i="6"/>
  <c r="K20" i="6"/>
  <c r="K39" i="6"/>
  <c r="K24" i="6"/>
  <c r="K11" i="6"/>
  <c r="K36" i="6"/>
  <c r="J125" i="6"/>
  <c r="J12" i="6"/>
  <c r="J28" i="6"/>
  <c r="J37" i="6"/>
  <c r="J84" i="6"/>
  <c r="J103" i="6"/>
  <c r="I84" i="6"/>
  <c r="I7" i="6"/>
  <c r="I114" i="6"/>
  <c r="H110" i="6"/>
  <c r="H123" i="6"/>
  <c r="H74" i="6"/>
  <c r="H125" i="6"/>
  <c r="H94" i="6"/>
  <c r="H114" i="6"/>
  <c r="O114" i="6" s="1"/>
  <c r="H7" i="6"/>
  <c r="H32" i="6"/>
  <c r="O32" i="6" s="1"/>
  <c r="H83" i="6"/>
  <c r="G90" i="6"/>
  <c r="G115" i="6"/>
  <c r="G39" i="6"/>
  <c r="G112" i="6"/>
  <c r="G96" i="6"/>
  <c r="G36" i="6"/>
  <c r="G128" i="6"/>
  <c r="G13" i="6"/>
  <c r="P13" i="6" s="1"/>
  <c r="G84" i="6"/>
  <c r="G74" i="6"/>
  <c r="G10" i="4"/>
  <c r="G7" i="6"/>
  <c r="G5" i="6"/>
  <c r="G110" i="6"/>
  <c r="G76" i="6"/>
  <c r="F5" i="6"/>
  <c r="F96" i="6"/>
  <c r="F8" i="4"/>
  <c r="F12" i="4" s="1"/>
  <c r="F76" i="6"/>
  <c r="H10" i="4"/>
  <c r="D8" i="4"/>
  <c r="D12" i="4" s="1"/>
  <c r="I10" i="4"/>
  <c r="E8" i="4"/>
  <c r="E12" i="4" s="1"/>
  <c r="E128" i="6"/>
  <c r="E74" i="6"/>
  <c r="H22" i="5"/>
  <c r="H25" i="5" s="1"/>
  <c r="E9" i="6"/>
  <c r="D20" i="5"/>
  <c r="D23" i="5" s="1"/>
  <c r="E36" i="6"/>
  <c r="G21" i="5"/>
  <c r="E5" i="6"/>
  <c r="E94" i="6"/>
  <c r="E96" i="6"/>
  <c r="H21" i="5"/>
  <c r="H24" i="5" s="1"/>
  <c r="E42" i="6"/>
  <c r="E20" i="5"/>
  <c r="E23" i="5" s="1"/>
  <c r="G22" i="5"/>
  <c r="E112" i="6"/>
  <c r="E115" i="6"/>
  <c r="E34" i="6"/>
  <c r="AC34" i="6" s="1"/>
  <c r="D119" i="6"/>
  <c r="C115" i="6"/>
  <c r="AI115" i="6" s="1"/>
  <c r="C37" i="6"/>
  <c r="AI37" i="6" s="1"/>
  <c r="C31" i="6"/>
  <c r="AI31" i="6" s="1"/>
  <c r="U51" i="6"/>
  <c r="T51" i="6"/>
  <c r="L22" i="6"/>
  <c r="L9" i="6"/>
  <c r="L31" i="6"/>
  <c r="L17" i="6"/>
  <c r="U17" i="6" s="1"/>
  <c r="L70" i="6"/>
  <c r="V70" i="6" s="1"/>
  <c r="L106" i="6"/>
  <c r="W26" i="6"/>
  <c r="L52" i="6"/>
  <c r="L61" i="6"/>
  <c r="X61" i="6" s="1"/>
  <c r="C100" i="6"/>
  <c r="AI100" i="6" s="1"/>
  <c r="C18" i="6"/>
  <c r="AI18" i="6" s="1"/>
  <c r="C40" i="6"/>
  <c r="AI40" i="6" s="1"/>
  <c r="E88" i="6"/>
  <c r="C121" i="6"/>
  <c r="AI121" i="6" s="1"/>
  <c r="D22" i="5"/>
  <c r="D25" i="5" s="1"/>
  <c r="C7" i="6"/>
  <c r="AI7" i="6" s="1"/>
  <c r="C27" i="6"/>
  <c r="AI27" i="6" s="1"/>
  <c r="AJ27" i="6" s="1"/>
  <c r="E40" i="6"/>
  <c r="L62" i="6"/>
  <c r="X62" i="6" s="1"/>
  <c r="C71" i="6"/>
  <c r="AI71" i="6" s="1"/>
  <c r="F88" i="6"/>
  <c r="C95" i="6"/>
  <c r="AI95" i="6" s="1"/>
  <c r="E22" i="5"/>
  <c r="E7" i="6"/>
  <c r="L13" i="6"/>
  <c r="L18" i="6"/>
  <c r="X18" i="6" s="1"/>
  <c r="C23" i="6"/>
  <c r="AI23" i="6" s="1"/>
  <c r="AJ23" i="6" s="1"/>
  <c r="L36" i="6"/>
  <c r="X36" i="6" s="1"/>
  <c r="G40" i="6"/>
  <c r="F71" i="6"/>
  <c r="I95" i="6"/>
  <c r="C101" i="6"/>
  <c r="AI101" i="6" s="1"/>
  <c r="F122" i="6"/>
  <c r="F22" i="5"/>
  <c r="F7" i="6"/>
  <c r="J27" i="6"/>
  <c r="L34" i="6"/>
  <c r="H40" i="6"/>
  <c r="H71" i="6"/>
  <c r="L82" i="6"/>
  <c r="V82" i="6" s="1"/>
  <c r="J95" i="6"/>
  <c r="E101" i="6"/>
  <c r="C107" i="6"/>
  <c r="AI107" i="6" s="1"/>
  <c r="K114" i="6"/>
  <c r="L7" i="6"/>
  <c r="X7" i="6" s="1"/>
  <c r="F33" i="6"/>
  <c r="Q33" i="6" s="1"/>
  <c r="L78" i="6"/>
  <c r="W78" i="6" s="1"/>
  <c r="L110" i="6"/>
  <c r="V110" i="6" s="1"/>
  <c r="L20" i="6"/>
  <c r="T20" i="6" s="1"/>
  <c r="F8" i="6"/>
  <c r="L14" i="3"/>
  <c r="H69" i="6"/>
  <c r="E98" i="6"/>
  <c r="F105" i="6"/>
  <c r="C111" i="6"/>
  <c r="AI111" i="6" s="1"/>
  <c r="L11" i="3"/>
  <c r="D20" i="3" s="1"/>
  <c r="E20" i="3" s="1"/>
  <c r="C6" i="9" s="1"/>
  <c r="E6" i="9" s="1"/>
  <c r="T23" i="6"/>
  <c r="C5" i="6"/>
  <c r="AI5" i="6" s="1"/>
  <c r="U32" i="6"/>
  <c r="L64" i="6"/>
  <c r="V64" i="6" s="1"/>
  <c r="AC13" i="6"/>
  <c r="V32" i="6"/>
  <c r="L37" i="6"/>
  <c r="T37" i="6" s="1"/>
  <c r="F35" i="6"/>
  <c r="L55" i="6"/>
  <c r="T55" i="6" s="1"/>
  <c r="C116" i="6"/>
  <c r="AI116" i="6" s="1"/>
  <c r="C38" i="6"/>
  <c r="AI38" i="6" s="1"/>
  <c r="E116" i="6"/>
  <c r="D8" i="6"/>
  <c r="L29" i="6"/>
  <c r="I72" i="6"/>
  <c r="J33" i="6"/>
  <c r="L33" i="6"/>
  <c r="L126" i="6"/>
  <c r="F15" i="5"/>
  <c r="G69" i="6"/>
  <c r="G15" i="5"/>
  <c r="C6" i="6"/>
  <c r="AI6" i="6" s="1"/>
  <c r="J38" i="6"/>
  <c r="H15" i="5"/>
  <c r="F6" i="6"/>
  <c r="J8" i="6"/>
  <c r="L21" i="6"/>
  <c r="W21" i="6" s="1"/>
  <c r="J25" i="6"/>
  <c r="K38" i="6"/>
  <c r="I69" i="6"/>
  <c r="J79" i="6"/>
  <c r="D86" i="6"/>
  <c r="C92" i="6"/>
  <c r="AI92" i="6" s="1"/>
  <c r="G98" i="6"/>
  <c r="G105" i="6"/>
  <c r="L111" i="6"/>
  <c r="U111" i="6" s="1"/>
  <c r="F117" i="6"/>
  <c r="I127" i="6"/>
  <c r="U23" i="6"/>
  <c r="V53" i="6"/>
  <c r="D5" i="6"/>
  <c r="W23" i="6"/>
  <c r="W53" i="6"/>
  <c r="W32" i="6"/>
  <c r="E33" i="6"/>
  <c r="L11" i="6"/>
  <c r="C97" i="6"/>
  <c r="AI97" i="6" s="1"/>
  <c r="E38" i="6"/>
  <c r="E8" i="6"/>
  <c r="I33" i="6"/>
  <c r="E15" i="5"/>
  <c r="L24" i="6"/>
  <c r="T24" i="6" s="1"/>
  <c r="L58" i="6"/>
  <c r="X58" i="6" s="1"/>
  <c r="H8" i="6"/>
  <c r="G6" i="6"/>
  <c r="C12" i="6"/>
  <c r="AI12" i="6" s="1"/>
  <c r="AJ12" i="6" s="1"/>
  <c r="K16" i="6"/>
  <c r="K25" i="6"/>
  <c r="C30" i="6"/>
  <c r="AI30" i="6" s="1"/>
  <c r="L38" i="6"/>
  <c r="T38" i="6" s="1"/>
  <c r="L59" i="6"/>
  <c r="J69" i="6"/>
  <c r="E86" i="6"/>
  <c r="K92" i="6"/>
  <c r="H98" i="6"/>
  <c r="H105" i="6"/>
  <c r="J127" i="6"/>
  <c r="V63" i="6"/>
  <c r="U53" i="6"/>
  <c r="C42" i="6"/>
  <c r="AI42" i="6" s="1"/>
  <c r="C14" i="6"/>
  <c r="AI14" i="6" s="1"/>
  <c r="AJ14" i="6" s="1"/>
  <c r="C110" i="6"/>
  <c r="AI110" i="6" s="1"/>
  <c r="C29" i="6"/>
  <c r="AI29" i="6" s="1"/>
  <c r="E35" i="6"/>
  <c r="C125" i="6"/>
  <c r="AI125" i="6" s="1"/>
  <c r="G35" i="6"/>
  <c r="C77" i="6"/>
  <c r="AI77" i="6" s="1"/>
  <c r="L84" i="6"/>
  <c r="X84" i="6" s="1"/>
  <c r="L15" i="3"/>
  <c r="L56" i="6"/>
  <c r="X56" i="6" s="1"/>
  <c r="F38" i="6"/>
  <c r="C68" i="6"/>
  <c r="AI68" i="6" s="1"/>
  <c r="G38" i="6"/>
  <c r="G8" i="6"/>
  <c r="K15" i="6"/>
  <c r="L35" i="6"/>
  <c r="H38" i="6"/>
  <c r="L85" i="6"/>
  <c r="T85" i="6" s="1"/>
  <c r="K91" i="6"/>
  <c r="L116" i="6"/>
  <c r="T116" i="6" s="1"/>
  <c r="H6" i="6"/>
  <c r="C9" i="6"/>
  <c r="AI9" i="6" s="1"/>
  <c r="L16" i="6"/>
  <c r="X16" i="6" s="1"/>
  <c r="L25" i="6"/>
  <c r="T25" i="6" s="1"/>
  <c r="L50" i="6"/>
  <c r="X50" i="6" s="1"/>
  <c r="K69" i="6"/>
  <c r="H73" i="6"/>
  <c r="F86" i="6"/>
  <c r="I98" i="6"/>
  <c r="J105" i="6"/>
  <c r="K127" i="6"/>
  <c r="W63" i="6"/>
  <c r="L71" i="6"/>
  <c r="V71" i="6" s="1"/>
  <c r="T32" i="6"/>
  <c r="C102" i="6"/>
  <c r="AI102" i="6" s="1"/>
  <c r="C124" i="6"/>
  <c r="AI124" i="6" s="1"/>
  <c r="X23" i="6"/>
  <c r="C35" i="6"/>
  <c r="AI35" i="6" s="1"/>
  <c r="L54" i="6"/>
  <c r="C72" i="6"/>
  <c r="AI72" i="6" s="1"/>
  <c r="C24" i="6"/>
  <c r="AI24" i="6" s="1"/>
  <c r="AJ24" i="6" s="1"/>
  <c r="E72" i="6"/>
  <c r="F72" i="6"/>
  <c r="L90" i="6"/>
  <c r="F125" i="6"/>
  <c r="C8" i="6"/>
  <c r="AI8" i="6" s="1"/>
  <c r="G72" i="6"/>
  <c r="H33" i="6"/>
  <c r="H72" i="6"/>
  <c r="C21" i="6"/>
  <c r="AI21" i="6" s="1"/>
  <c r="AJ21" i="6" s="1"/>
  <c r="C15" i="6"/>
  <c r="AI15" i="6" s="1"/>
  <c r="J72" i="6"/>
  <c r="J91" i="6"/>
  <c r="K72" i="6"/>
  <c r="L15" i="6"/>
  <c r="X15" i="6" s="1"/>
  <c r="L72" i="6"/>
  <c r="I8" i="6"/>
  <c r="K21" i="6"/>
  <c r="C79" i="6"/>
  <c r="AI79" i="6" s="1"/>
  <c r="E68" i="2"/>
  <c r="D16" i="6" s="1"/>
  <c r="E69" i="2"/>
  <c r="E17" i="6" s="1"/>
  <c r="E70" i="2"/>
  <c r="I17" i="6" s="1"/>
  <c r="I6" i="6"/>
  <c r="D9" i="6"/>
  <c r="C22" i="6"/>
  <c r="AI22" i="6" s="1"/>
  <c r="AJ22" i="6" s="1"/>
  <c r="L30" i="6"/>
  <c r="W30" i="6" s="1"/>
  <c r="C39" i="6"/>
  <c r="AI39" i="6" s="1"/>
  <c r="L60" i="6"/>
  <c r="J73" i="6"/>
  <c r="L80" i="6"/>
  <c r="G86" i="6"/>
  <c r="J98" i="6"/>
  <c r="L10" i="3"/>
  <c r="AI25" i="6"/>
  <c r="F28" i="5"/>
  <c r="F29" i="5" s="1"/>
  <c r="E28" i="5"/>
  <c r="E29" i="5" s="1"/>
  <c r="D28" i="5"/>
  <c r="D29" i="5" s="1"/>
  <c r="AI96" i="6"/>
  <c r="H28" i="5"/>
  <c r="H29" i="5" s="1"/>
  <c r="G28" i="5"/>
  <c r="G29" i="5" s="1"/>
  <c r="AI34" i="6"/>
  <c r="D7" i="5"/>
  <c r="V117" i="6"/>
  <c r="T117" i="6"/>
  <c r="W117" i="6"/>
  <c r="X117" i="6"/>
  <c r="D11" i="5"/>
  <c r="D10" i="5"/>
  <c r="C13" i="1"/>
  <c r="D18" i="8"/>
  <c r="D20" i="8" s="1"/>
  <c r="V61" i="6"/>
  <c r="D106" i="6"/>
  <c r="D74" i="6"/>
  <c r="D104" i="6"/>
  <c r="D123" i="6"/>
  <c r="D110" i="6"/>
  <c r="D95" i="6"/>
  <c r="D101" i="6"/>
  <c r="D100" i="6"/>
  <c r="D105" i="6"/>
  <c r="D88" i="6"/>
  <c r="D117" i="6"/>
  <c r="D90" i="6"/>
  <c r="D89" i="6"/>
  <c r="D85" i="6"/>
  <c r="D84" i="6"/>
  <c r="D118" i="6"/>
  <c r="D68" i="6"/>
  <c r="D91" i="6"/>
  <c r="D83" i="6"/>
  <c r="D82" i="6"/>
  <c r="D80" i="6"/>
  <c r="D81" i="6"/>
  <c r="J6" i="7"/>
  <c r="D103" i="6"/>
  <c r="D93" i="6"/>
  <c r="D87" i="6"/>
  <c r="D36" i="6"/>
  <c r="D42" i="6"/>
  <c r="D96" i="6"/>
  <c r="D122" i="6"/>
  <c r="D78" i="6"/>
  <c r="D73" i="6"/>
  <c r="D32" i="6"/>
  <c r="D102" i="6"/>
  <c r="D120" i="6"/>
  <c r="D116" i="6"/>
  <c r="D107" i="6"/>
  <c r="D76" i="6"/>
  <c r="D71" i="6"/>
  <c r="D121" i="6"/>
  <c r="D111" i="6"/>
  <c r="D109" i="6"/>
  <c r="D94" i="6"/>
  <c r="D79" i="6"/>
  <c r="D72" i="6"/>
  <c r="D41" i="6"/>
  <c r="D25" i="6"/>
  <c r="D77" i="6"/>
  <c r="D75" i="6"/>
  <c r="D37" i="6"/>
  <c r="D26" i="6"/>
  <c r="D70" i="6"/>
  <c r="D113" i="6"/>
  <c r="D97" i="6"/>
  <c r="D31" i="6"/>
  <c r="D99" i="6"/>
  <c r="D98" i="6"/>
  <c r="D34" i="6"/>
  <c r="D69" i="6"/>
  <c r="D39" i="6"/>
  <c r="D6" i="6"/>
  <c r="D114" i="6"/>
  <c r="D125" i="6"/>
  <c r="D33" i="6"/>
  <c r="D7" i="6"/>
  <c r="D40" i="6"/>
  <c r="D38" i="6"/>
  <c r="D30" i="6"/>
  <c r="D29" i="6"/>
  <c r="D108" i="6"/>
  <c r="D115" i="6"/>
  <c r="W24" i="6"/>
  <c r="V24" i="6"/>
  <c r="D35" i="6"/>
  <c r="AI26" i="6"/>
  <c r="U54" i="6"/>
  <c r="X54" i="6"/>
  <c r="W54" i="6"/>
  <c r="T54" i="6"/>
  <c r="V54" i="6"/>
  <c r="U82" i="6"/>
  <c r="W7" i="6"/>
  <c r="V7" i="6"/>
  <c r="W82" i="6"/>
  <c r="W6" i="6"/>
  <c r="V6" i="6"/>
  <c r="U6" i="6"/>
  <c r="X6" i="6"/>
  <c r="T6" i="6"/>
  <c r="U15" i="6"/>
  <c r="X82" i="6"/>
  <c r="D92" i="6"/>
  <c r="W27" i="6"/>
  <c r="U27" i="6"/>
  <c r="X27" i="6"/>
  <c r="V27" i="6"/>
  <c r="T27" i="6"/>
  <c r="D17" i="4"/>
  <c r="D14" i="4"/>
  <c r="X17" i="6"/>
  <c r="Q114" i="6"/>
  <c r="P114" i="6"/>
  <c r="V25" i="6"/>
  <c r="U25" i="6"/>
  <c r="X25" i="6"/>
  <c r="W25" i="6"/>
  <c r="V56" i="6"/>
  <c r="U56" i="6"/>
  <c r="T56" i="6"/>
  <c r="T64" i="6"/>
  <c r="U117" i="6"/>
  <c r="W114" i="6"/>
  <c r="V114" i="6"/>
  <c r="U114" i="6"/>
  <c r="T114" i="6"/>
  <c r="X114" i="6"/>
  <c r="V9" i="6"/>
  <c r="U9" i="6"/>
  <c r="L69" i="6"/>
  <c r="L89" i="6"/>
  <c r="L105" i="6"/>
  <c r="L103" i="6"/>
  <c r="E18" i="4"/>
  <c r="E17" i="4"/>
  <c r="H15" i="4"/>
  <c r="H16" i="4"/>
  <c r="L5" i="6"/>
  <c r="L10" i="6"/>
  <c r="L91" i="6"/>
  <c r="X59" i="6"/>
  <c r="V59" i="6"/>
  <c r="U59" i="6"/>
  <c r="T59" i="6"/>
  <c r="W59" i="6"/>
  <c r="T90" i="6"/>
  <c r="V90" i="6"/>
  <c r="X90" i="6"/>
  <c r="W90" i="6"/>
  <c r="U90" i="6"/>
  <c r="I15" i="4"/>
  <c r="I16" i="4"/>
  <c r="C7" i="9"/>
  <c r="E7" i="9" s="1"/>
  <c r="W51" i="6"/>
  <c r="X51" i="6"/>
  <c r="V51" i="6"/>
  <c r="U55" i="6"/>
  <c r="U84" i="6"/>
  <c r="U70" i="6"/>
  <c r="F10" i="4"/>
  <c r="F15" i="4"/>
  <c r="F17" i="4"/>
  <c r="F16" i="4"/>
  <c r="G18" i="4"/>
  <c r="G15" i="4"/>
  <c r="G17" i="4"/>
  <c r="G16" i="4"/>
  <c r="T70" i="6"/>
  <c r="X78" i="6"/>
  <c r="L123" i="6"/>
  <c r="L128" i="6"/>
  <c r="L115" i="6"/>
  <c r="L87" i="6"/>
  <c r="L93" i="6"/>
  <c r="L77" i="6"/>
  <c r="L95" i="6"/>
  <c r="L113" i="6"/>
  <c r="L81" i="6"/>
  <c r="L109" i="6"/>
  <c r="L97" i="6"/>
  <c r="D15" i="5"/>
  <c r="L75" i="6"/>
  <c r="L83" i="6"/>
  <c r="L12" i="6"/>
  <c r="L73" i="6"/>
  <c r="L79" i="6"/>
  <c r="L101" i="6"/>
  <c r="L127" i="6"/>
  <c r="L14" i="6"/>
  <c r="L19" i="6"/>
  <c r="L121" i="6"/>
  <c r="L99" i="6"/>
  <c r="L107" i="6"/>
  <c r="X112" i="6"/>
  <c r="W112" i="6"/>
  <c r="V112" i="6"/>
  <c r="U112" i="6"/>
  <c r="T112" i="6"/>
  <c r="W72" i="6"/>
  <c r="X72" i="6"/>
  <c r="U72" i="6"/>
  <c r="T72" i="6"/>
  <c r="V72" i="6"/>
  <c r="F20" i="5"/>
  <c r="G15" i="3"/>
  <c r="C5" i="9" s="1"/>
  <c r="E5" i="9" s="1"/>
  <c r="G20" i="5"/>
  <c r="E6" i="6"/>
  <c r="E39" i="6"/>
  <c r="E69" i="6"/>
  <c r="F112" i="6"/>
  <c r="F80" i="6"/>
  <c r="F123" i="6"/>
  <c r="F110" i="6"/>
  <c r="F116" i="6"/>
  <c r="F127" i="6"/>
  <c r="F101" i="6"/>
  <c r="F69" i="6"/>
  <c r="F107" i="6"/>
  <c r="F106" i="6"/>
  <c r="F118" i="6"/>
  <c r="F68" i="6"/>
  <c r="F83" i="6"/>
  <c r="F91" i="6"/>
  <c r="F82" i="6"/>
  <c r="F81" i="6"/>
  <c r="F92" i="6"/>
  <c r="F79" i="6"/>
  <c r="J8" i="7"/>
  <c r="F78" i="6"/>
  <c r="F103" i="6"/>
  <c r="F93" i="6"/>
  <c r="F87" i="6"/>
  <c r="F42" i="6"/>
  <c r="F108" i="6"/>
  <c r="F99" i="6"/>
  <c r="F124" i="6"/>
  <c r="F128" i="6"/>
  <c r="F89" i="6"/>
  <c r="F24" i="6"/>
  <c r="F73" i="6"/>
  <c r="F102" i="6"/>
  <c r="F9" i="6"/>
  <c r="F120" i="6"/>
  <c r="F23" i="6"/>
  <c r="F98" i="6"/>
  <c r="F95" i="6"/>
  <c r="F121" i="6"/>
  <c r="F90" i="6"/>
  <c r="E9" i="4"/>
  <c r="E20" i="4" s="1"/>
  <c r="F15" i="6"/>
  <c r="D9" i="4"/>
  <c r="F104" i="6"/>
  <c r="F29" i="6"/>
  <c r="F28" i="6"/>
  <c r="F27" i="6"/>
  <c r="F26" i="6"/>
  <c r="F25" i="6"/>
  <c r="F22" i="6"/>
  <c r="F16" i="6"/>
  <c r="F126" i="6"/>
  <c r="F111" i="6"/>
  <c r="F109" i="6"/>
  <c r="F85" i="6"/>
  <c r="F30" i="6"/>
  <c r="F21" i="6"/>
  <c r="AA21" i="6" s="1"/>
  <c r="AD21" i="6" s="1"/>
  <c r="F20" i="6"/>
  <c r="AC20" i="6" s="1"/>
  <c r="AF20" i="6" s="1"/>
  <c r="F19" i="6"/>
  <c r="F18" i="6"/>
  <c r="F17" i="6"/>
  <c r="F14" i="6"/>
  <c r="F100" i="6"/>
  <c r="F84" i="6"/>
  <c r="F40" i="6"/>
  <c r="D10" i="8"/>
  <c r="G8" i="4"/>
  <c r="E125" i="6"/>
  <c r="E93" i="6"/>
  <c r="E123" i="6"/>
  <c r="E91" i="6"/>
  <c r="E110" i="6"/>
  <c r="E97" i="6"/>
  <c r="J7" i="7"/>
  <c r="E114" i="6"/>
  <c r="E82" i="6"/>
  <c r="E120" i="6"/>
  <c r="E119" i="6"/>
  <c r="E87" i="6"/>
  <c r="E117" i="6"/>
  <c r="E90" i="6"/>
  <c r="E89" i="6"/>
  <c r="E85" i="6"/>
  <c r="E84" i="6"/>
  <c r="E118" i="6"/>
  <c r="E68" i="6"/>
  <c r="E127" i="6"/>
  <c r="E106" i="6"/>
  <c r="E83" i="6"/>
  <c r="E80" i="6"/>
  <c r="E81" i="6"/>
  <c r="E107" i="6"/>
  <c r="E92" i="6"/>
  <c r="E79" i="6"/>
  <c r="E103" i="6"/>
  <c r="E108" i="6"/>
  <c r="E99" i="6"/>
  <c r="D8" i="8"/>
  <c r="E122" i="6"/>
  <c r="E105" i="6"/>
  <c r="E78" i="6"/>
  <c r="E73" i="6"/>
  <c r="E32" i="6"/>
  <c r="E102" i="6"/>
  <c r="E71" i="6"/>
  <c r="F21" i="5"/>
  <c r="E121" i="6"/>
  <c r="E21" i="5"/>
  <c r="E24" i="5" s="1"/>
  <c r="E95" i="6"/>
  <c r="D21" i="5"/>
  <c r="D24" i="5" s="1"/>
  <c r="H20" i="5"/>
  <c r="H23" i="5" s="1"/>
  <c r="E104" i="6"/>
  <c r="E31" i="6"/>
  <c r="E28" i="6"/>
  <c r="E27" i="6"/>
  <c r="E26" i="6"/>
  <c r="E25" i="6"/>
  <c r="E126" i="6"/>
  <c r="E111" i="6"/>
  <c r="E109" i="6"/>
  <c r="E100" i="6"/>
  <c r="E70" i="6"/>
  <c r="F12" i="6"/>
  <c r="AB12" i="6" s="1"/>
  <c r="G99" i="6"/>
  <c r="G124" i="6"/>
  <c r="J9" i="7"/>
  <c r="G123" i="6"/>
  <c r="G97" i="6"/>
  <c r="G116" i="6"/>
  <c r="G103" i="6"/>
  <c r="G120" i="6"/>
  <c r="G88" i="6"/>
  <c r="G126" i="6"/>
  <c r="G94" i="6"/>
  <c r="G125" i="6"/>
  <c r="G93" i="6"/>
  <c r="G83" i="6"/>
  <c r="G127" i="6"/>
  <c r="G106" i="6"/>
  <c r="G91" i="6"/>
  <c r="G82" i="6"/>
  <c r="G81" i="6"/>
  <c r="G80" i="6"/>
  <c r="G92" i="6"/>
  <c r="G79" i="6"/>
  <c r="G107" i="6"/>
  <c r="G78" i="6"/>
  <c r="G87" i="6"/>
  <c r="G42" i="6"/>
  <c r="G108" i="6"/>
  <c r="G29" i="6"/>
  <c r="G121" i="6"/>
  <c r="G117" i="6"/>
  <c r="G113" i="6"/>
  <c r="G73" i="6"/>
  <c r="G32" i="6"/>
  <c r="G102" i="6"/>
  <c r="G9" i="6"/>
  <c r="G109" i="6"/>
  <c r="G31" i="6"/>
  <c r="G119" i="6"/>
  <c r="G104" i="6"/>
  <c r="G101" i="6"/>
  <c r="G71" i="6"/>
  <c r="G68" i="6"/>
  <c r="G15" i="6"/>
  <c r="G95" i="6"/>
  <c r="G28" i="6"/>
  <c r="G27" i="6"/>
  <c r="G26" i="6"/>
  <c r="G25" i="6"/>
  <c r="G24" i="6"/>
  <c r="G23" i="6"/>
  <c r="G22" i="6"/>
  <c r="G16" i="6"/>
  <c r="G111" i="6"/>
  <c r="G85" i="6"/>
  <c r="G30" i="6"/>
  <c r="G21" i="6"/>
  <c r="G20" i="6"/>
  <c r="G19" i="6"/>
  <c r="G18" i="6"/>
  <c r="G17" i="6"/>
  <c r="G14" i="6"/>
  <c r="G100" i="6"/>
  <c r="G122" i="6"/>
  <c r="G89" i="6"/>
  <c r="F11" i="6"/>
  <c r="AC11" i="6" s="1"/>
  <c r="AF11" i="6" s="1"/>
  <c r="E37" i="6"/>
  <c r="H118" i="6"/>
  <c r="H86" i="6"/>
  <c r="H116" i="6"/>
  <c r="H84" i="6"/>
  <c r="H103" i="6"/>
  <c r="H122" i="6"/>
  <c r="H90" i="6"/>
  <c r="H107" i="6"/>
  <c r="H75" i="6"/>
  <c r="H113" i="6"/>
  <c r="H112" i="6"/>
  <c r="H80" i="6"/>
  <c r="H127" i="6"/>
  <c r="H106" i="6"/>
  <c r="H91" i="6"/>
  <c r="H82" i="6"/>
  <c r="H81" i="6"/>
  <c r="H92" i="6"/>
  <c r="H79" i="6"/>
  <c r="H78" i="6"/>
  <c r="H119" i="6"/>
  <c r="H93" i="6"/>
  <c r="H77" i="6"/>
  <c r="H42" i="6"/>
  <c r="H108" i="6"/>
  <c r="H99" i="6"/>
  <c r="H16" i="6"/>
  <c r="H124" i="6"/>
  <c r="H121" i="6"/>
  <c r="H117" i="6"/>
  <c r="H102" i="6"/>
  <c r="H9" i="6"/>
  <c r="H23" i="6"/>
  <c r="H15" i="6"/>
  <c r="H120" i="6"/>
  <c r="H109" i="6"/>
  <c r="H68" i="6"/>
  <c r="H115" i="6"/>
  <c r="H88" i="6"/>
  <c r="H95" i="6"/>
  <c r="H104" i="6"/>
  <c r="H28" i="6"/>
  <c r="H27" i="6"/>
  <c r="H26" i="6"/>
  <c r="H25" i="6"/>
  <c r="H24" i="6"/>
  <c r="H22" i="6"/>
  <c r="H111" i="6"/>
  <c r="H85" i="6"/>
  <c r="H31" i="6"/>
  <c r="O31" i="6" s="1"/>
  <c r="H30" i="6"/>
  <c r="H29" i="6"/>
  <c r="H21" i="6"/>
  <c r="H20" i="6"/>
  <c r="H19" i="6"/>
  <c r="H18" i="6"/>
  <c r="H17" i="6"/>
  <c r="H14" i="6"/>
  <c r="I8" i="4"/>
  <c r="I12" i="4" s="1"/>
  <c r="I23" i="4" s="1"/>
  <c r="H126" i="6"/>
  <c r="H100" i="6"/>
  <c r="H8" i="4"/>
  <c r="H12" i="4" s="1"/>
  <c r="H23" i="4" s="1"/>
  <c r="H13" i="6"/>
  <c r="H101" i="6"/>
  <c r="H41" i="6"/>
  <c r="G9" i="4"/>
  <c r="G20" i="4" s="1"/>
  <c r="G11" i="6"/>
  <c r="H12" i="6"/>
  <c r="F37" i="6"/>
  <c r="F41" i="6"/>
  <c r="E75" i="6"/>
  <c r="E77" i="6"/>
  <c r="H11" i="6"/>
  <c r="G37" i="6"/>
  <c r="G41" i="6"/>
  <c r="F75" i="6"/>
  <c r="F77" i="6"/>
  <c r="F97" i="6"/>
  <c r="E113" i="6"/>
  <c r="J10" i="7"/>
  <c r="I9" i="4"/>
  <c r="I20" i="4" s="1"/>
  <c r="G10" i="6"/>
  <c r="H37" i="6"/>
  <c r="F70" i="6"/>
  <c r="G75" i="6"/>
  <c r="G77" i="6"/>
  <c r="H97" i="6"/>
  <c r="F113" i="6"/>
  <c r="E124" i="6"/>
  <c r="X38" i="6"/>
  <c r="W38" i="6"/>
  <c r="V38" i="6"/>
  <c r="U38" i="6"/>
  <c r="F9" i="4"/>
  <c r="F20" i="4" s="1"/>
  <c r="G12" i="6"/>
  <c r="H9" i="4"/>
  <c r="H20" i="4" s="1"/>
  <c r="F10" i="6"/>
  <c r="D10" i="4"/>
  <c r="D21" i="4" s="1"/>
  <c r="H10" i="6"/>
  <c r="O10" i="6" s="1"/>
  <c r="T63" i="6"/>
  <c r="U63" i="6"/>
  <c r="G70" i="6"/>
  <c r="G118" i="6"/>
  <c r="E41" i="6"/>
  <c r="E10" i="4"/>
  <c r="H70" i="6"/>
  <c r="H87" i="6"/>
  <c r="I102" i="6"/>
  <c r="I32" i="6"/>
  <c r="K34" i="6"/>
  <c r="X35" i="6"/>
  <c r="W35" i="6"/>
  <c r="J80" i="6"/>
  <c r="J83" i="6"/>
  <c r="J102" i="6"/>
  <c r="I105" i="6"/>
  <c r="I73" i="6"/>
  <c r="I103" i="6"/>
  <c r="I122" i="6"/>
  <c r="I109" i="6"/>
  <c r="J11" i="7"/>
  <c r="I126" i="6"/>
  <c r="I94" i="6"/>
  <c r="I100" i="6"/>
  <c r="I99" i="6"/>
  <c r="I92" i="6"/>
  <c r="I80" i="6"/>
  <c r="I79" i="6"/>
  <c r="I78" i="6"/>
  <c r="I107" i="6"/>
  <c r="I93" i="6"/>
  <c r="I77" i="6"/>
  <c r="I108" i="6"/>
  <c r="I124" i="6"/>
  <c r="I121" i="6"/>
  <c r="I117" i="6"/>
  <c r="I35" i="6"/>
  <c r="I113" i="6"/>
  <c r="I88" i="6"/>
  <c r="I81" i="6"/>
  <c r="I41" i="6"/>
  <c r="I82" i="6"/>
  <c r="I120" i="6"/>
  <c r="I31" i="6"/>
  <c r="I68" i="6"/>
  <c r="I86" i="6"/>
  <c r="I115" i="6"/>
  <c r="K12" i="6"/>
  <c r="J32" i="6"/>
  <c r="K33" i="6"/>
  <c r="K80" i="6"/>
  <c r="K83" i="6"/>
  <c r="K102" i="6"/>
  <c r="J124" i="6"/>
  <c r="J92" i="6"/>
  <c r="J122" i="6"/>
  <c r="J90" i="6"/>
  <c r="J109" i="6"/>
  <c r="J128" i="6"/>
  <c r="J96" i="6"/>
  <c r="J113" i="6"/>
  <c r="J81" i="6"/>
  <c r="J119" i="6"/>
  <c r="J118" i="6"/>
  <c r="J86" i="6"/>
  <c r="J78" i="6"/>
  <c r="J107" i="6"/>
  <c r="J93" i="6"/>
  <c r="J77" i="6"/>
  <c r="J108" i="6"/>
  <c r="J94" i="6"/>
  <c r="J12" i="7"/>
  <c r="J121" i="6"/>
  <c r="J117" i="6"/>
  <c r="J99" i="6"/>
  <c r="J22" i="6"/>
  <c r="J88" i="6"/>
  <c r="J82" i="6"/>
  <c r="J23" i="6"/>
  <c r="J15" i="6"/>
  <c r="J120" i="6"/>
  <c r="J31" i="6"/>
  <c r="J68" i="6"/>
  <c r="J115" i="6"/>
  <c r="J74" i="6"/>
  <c r="J41" i="6"/>
  <c r="J112" i="6"/>
  <c r="J13" i="6"/>
  <c r="K32" i="6"/>
  <c r="J100" i="6"/>
  <c r="J126" i="6"/>
  <c r="K111" i="6"/>
  <c r="K79" i="6"/>
  <c r="J13" i="7"/>
  <c r="K122" i="6"/>
  <c r="K109" i="6"/>
  <c r="K128" i="6"/>
  <c r="K115" i="6"/>
  <c r="K126" i="6"/>
  <c r="K100" i="6"/>
  <c r="K68" i="6"/>
  <c r="K106" i="6"/>
  <c r="K105" i="6"/>
  <c r="K107" i="6"/>
  <c r="K93" i="6"/>
  <c r="K77" i="6"/>
  <c r="K119" i="6"/>
  <c r="K108" i="6"/>
  <c r="K94" i="6"/>
  <c r="K124" i="6"/>
  <c r="K95" i="6"/>
  <c r="K76" i="6"/>
  <c r="K121" i="6"/>
  <c r="K117" i="6"/>
  <c r="K99" i="6"/>
  <c r="K113" i="6"/>
  <c r="K88" i="6"/>
  <c r="K81" i="6"/>
  <c r="K120" i="6"/>
  <c r="K78" i="6"/>
  <c r="K31" i="6"/>
  <c r="K8" i="6"/>
  <c r="K86" i="6"/>
  <c r="K74" i="6"/>
  <c r="K112" i="6"/>
  <c r="K40" i="6"/>
  <c r="K30" i="6"/>
  <c r="K22" i="6"/>
  <c r="K13" i="6"/>
  <c r="I29" i="6"/>
  <c r="I30" i="6"/>
  <c r="I85" i="6"/>
  <c r="I111" i="6"/>
  <c r="X126" i="6"/>
  <c r="W126" i="6"/>
  <c r="V126" i="6"/>
  <c r="U126" i="6"/>
  <c r="T126" i="6"/>
  <c r="J14" i="6"/>
  <c r="J16" i="6"/>
  <c r="J17" i="6"/>
  <c r="J18" i="6"/>
  <c r="J19" i="6"/>
  <c r="J20" i="6"/>
  <c r="J21" i="6"/>
  <c r="K23" i="6"/>
  <c r="I25" i="6"/>
  <c r="I26" i="6"/>
  <c r="I27" i="6"/>
  <c r="I28" i="6"/>
  <c r="J29" i="6"/>
  <c r="J30" i="6"/>
  <c r="T53" i="6"/>
  <c r="J85" i="6"/>
  <c r="I104" i="6"/>
  <c r="J111" i="6"/>
  <c r="L118" i="6"/>
  <c r="C120" i="6"/>
  <c r="AI120" i="6" s="1"/>
  <c r="C32" i="6"/>
  <c r="AI32" i="6" s="1"/>
  <c r="L39" i="6"/>
  <c r="C73" i="6"/>
  <c r="AI73" i="6" s="1"/>
  <c r="L100" i="6"/>
  <c r="L40" i="6"/>
  <c r="L42" i="6"/>
  <c r="L44" i="6"/>
  <c r="L45" i="6"/>
  <c r="L46" i="6"/>
  <c r="L47" i="6"/>
  <c r="C78" i="6"/>
  <c r="AI78" i="6" s="1"/>
  <c r="L98" i="6"/>
  <c r="L66" i="6"/>
  <c r="L122" i="6"/>
  <c r="L96" i="6"/>
  <c r="L102" i="6"/>
  <c r="L119" i="6"/>
  <c r="L125" i="6"/>
  <c r="L124" i="6"/>
  <c r="L92" i="6"/>
  <c r="L108" i="6"/>
  <c r="L94" i="6"/>
  <c r="L65" i="6"/>
  <c r="L43" i="6"/>
  <c r="L76" i="6"/>
  <c r="L49" i="6"/>
  <c r="L88" i="6"/>
  <c r="L57" i="6"/>
  <c r="L41" i="6"/>
  <c r="L28" i="6"/>
  <c r="L67" i="6"/>
  <c r="L104" i="6"/>
  <c r="L48" i="6"/>
  <c r="L120" i="6"/>
  <c r="C16" i="6"/>
  <c r="AI16" i="6" s="1"/>
  <c r="L74" i="6"/>
  <c r="L86" i="6"/>
  <c r="C122" i="6"/>
  <c r="AI122" i="6" s="1"/>
  <c r="L8" i="6"/>
  <c r="L68" i="6"/>
  <c r="C119" i="6"/>
  <c r="AI119" i="6" s="1"/>
  <c r="C87" i="6"/>
  <c r="AI87" i="6" s="1"/>
  <c r="J5" i="7"/>
  <c r="C117" i="6"/>
  <c r="AI117" i="6" s="1"/>
  <c r="C85" i="6"/>
  <c r="AI85" i="6" s="1"/>
  <c r="C104" i="6"/>
  <c r="AI104" i="6" s="1"/>
  <c r="C123" i="6"/>
  <c r="AI123" i="6" s="1"/>
  <c r="C91" i="6"/>
  <c r="AI91" i="6" s="1"/>
  <c r="C108" i="6"/>
  <c r="AI108" i="6" s="1"/>
  <c r="C76" i="6"/>
  <c r="AI76" i="6" s="1"/>
  <c r="C114" i="6"/>
  <c r="AI114" i="6" s="1"/>
  <c r="C113" i="6"/>
  <c r="AI113" i="6" s="1"/>
  <c r="C81" i="6"/>
  <c r="AI81" i="6" s="1"/>
  <c r="C86" i="6"/>
  <c r="AI86" i="6" s="1"/>
  <c r="C69" i="6"/>
  <c r="AI69" i="6" s="1"/>
  <c r="C105" i="6"/>
  <c r="AI105" i="6" s="1"/>
  <c r="C88" i="6"/>
  <c r="AI88" i="6" s="1"/>
  <c r="C90" i="6"/>
  <c r="AI90" i="6" s="1"/>
  <c r="C89" i="6"/>
  <c r="AI89" i="6" s="1"/>
  <c r="C84" i="6"/>
  <c r="AI84" i="6" s="1"/>
  <c r="C118" i="6"/>
  <c r="AI118" i="6" s="1"/>
  <c r="C106" i="6"/>
  <c r="AI106" i="6" s="1"/>
  <c r="C127" i="6"/>
  <c r="AI127" i="6" s="1"/>
  <c r="AJ127" i="6" s="1"/>
  <c r="C83" i="6"/>
  <c r="AI83" i="6" s="1"/>
  <c r="C82" i="6"/>
  <c r="AI82" i="6" s="1"/>
  <c r="C80" i="6"/>
  <c r="AI80" i="6" s="1"/>
  <c r="C126" i="6"/>
  <c r="AI126" i="6" s="1"/>
  <c r="C112" i="6"/>
  <c r="AI112" i="6" s="1"/>
  <c r="AJ112" i="6" s="1"/>
  <c r="C98" i="6"/>
  <c r="AI98" i="6" s="1"/>
  <c r="C17" i="6"/>
  <c r="AI17" i="6" s="1"/>
  <c r="C103" i="6"/>
  <c r="AI103" i="6" s="1"/>
  <c r="C93" i="6"/>
  <c r="AI93" i="6" s="1"/>
  <c r="C10" i="6"/>
  <c r="AI10" i="6" s="1"/>
  <c r="AJ10" i="6" s="1"/>
  <c r="C33" i="6"/>
  <c r="AI33" i="6" s="1"/>
  <c r="U16" i="6" l="1"/>
  <c r="V84" i="6"/>
  <c r="W84" i="6"/>
  <c r="T84" i="6"/>
  <c r="U21" i="6"/>
  <c r="E21" i="4"/>
  <c r="V50" i="6"/>
  <c r="T21" i="6"/>
  <c r="T110" i="6"/>
  <c r="U37" i="6"/>
  <c r="W50" i="6"/>
  <c r="X21" i="6"/>
  <c r="V21" i="6"/>
  <c r="AL80" i="6"/>
  <c r="V111" i="6"/>
  <c r="V37" i="6"/>
  <c r="W111" i="6"/>
  <c r="AL70" i="6"/>
  <c r="V18" i="6"/>
  <c r="T18" i="6"/>
  <c r="S10" i="6"/>
  <c r="W18" i="6"/>
  <c r="V26" i="6"/>
  <c r="U18" i="6"/>
  <c r="V15" i="6"/>
  <c r="AL83" i="6"/>
  <c r="T71" i="6"/>
  <c r="U26" i="6"/>
  <c r="V58" i="6"/>
  <c r="T62" i="6"/>
  <c r="W15" i="6"/>
  <c r="T61" i="6"/>
  <c r="O103" i="6"/>
  <c r="W58" i="6"/>
  <c r="T15" i="6"/>
  <c r="U61" i="6"/>
  <c r="O5" i="6"/>
  <c r="R5" i="6" s="1"/>
  <c r="X111" i="6"/>
  <c r="W71" i="6"/>
  <c r="T111" i="6"/>
  <c r="T26" i="6"/>
  <c r="U71" i="6"/>
  <c r="AL88" i="6"/>
  <c r="O89" i="6"/>
  <c r="S89" i="6" s="1"/>
  <c r="W61" i="6"/>
  <c r="P115" i="6"/>
  <c r="S114" i="6"/>
  <c r="O128" i="6"/>
  <c r="S128" i="6" s="1"/>
  <c r="AC88" i="6"/>
  <c r="AF88" i="6" s="1"/>
  <c r="O34" i="6"/>
  <c r="S34" i="6" s="1"/>
  <c r="AB13" i="6"/>
  <c r="S5" i="6"/>
  <c r="P76" i="6"/>
  <c r="Q96" i="6"/>
  <c r="O115" i="6"/>
  <c r="S115" i="6" s="1"/>
  <c r="Q115" i="6"/>
  <c r="O33" i="6"/>
  <c r="S33" i="6" s="1"/>
  <c r="O13" i="6"/>
  <c r="S13" i="6" s="1"/>
  <c r="AC115" i="6"/>
  <c r="AF115" i="6" s="1"/>
  <c r="Q34" i="6"/>
  <c r="AA38" i="6"/>
  <c r="AJ89" i="6"/>
  <c r="AJ116" i="6"/>
  <c r="AJ110" i="6"/>
  <c r="Q74" i="6"/>
  <c r="AB96" i="6"/>
  <c r="AE96" i="6" s="1"/>
  <c r="O119" i="6"/>
  <c r="R119" i="6" s="1"/>
  <c r="O40" i="6"/>
  <c r="S40" i="6" s="1"/>
  <c r="Q13" i="6"/>
  <c r="P86" i="6"/>
  <c r="AA96" i="6"/>
  <c r="AD96" i="6" s="1"/>
  <c r="AC76" i="6"/>
  <c r="AF76" i="6" s="1"/>
  <c r="O95" i="6"/>
  <c r="R95" i="6" s="1"/>
  <c r="AA76" i="6"/>
  <c r="AD76" i="6" s="1"/>
  <c r="AB76" i="6"/>
  <c r="AE76" i="6" s="1"/>
  <c r="O86" i="6"/>
  <c r="S86" i="6" s="1"/>
  <c r="O36" i="6"/>
  <c r="S36" i="6" s="1"/>
  <c r="AC8" i="6"/>
  <c r="O74" i="6"/>
  <c r="R74" i="6" s="1"/>
  <c r="AA74" i="6"/>
  <c r="AD74" i="6" s="1"/>
  <c r="AJ86" i="6"/>
  <c r="D17" i="6"/>
  <c r="AJ17" i="6" s="1"/>
  <c r="AJ97" i="6"/>
  <c r="AJ119" i="6"/>
  <c r="S103" i="6"/>
  <c r="P39" i="6"/>
  <c r="Q71" i="6"/>
  <c r="Q86" i="6"/>
  <c r="P74" i="6"/>
  <c r="Q36" i="6"/>
  <c r="AB94" i="6"/>
  <c r="AE94" i="6" s="1"/>
  <c r="O76" i="6"/>
  <c r="S76" i="6" s="1"/>
  <c r="Q5" i="6"/>
  <c r="AC5" i="6"/>
  <c r="AF5" i="6" s="1"/>
  <c r="O96" i="6"/>
  <c r="R96" i="6" s="1"/>
  <c r="O112" i="6"/>
  <c r="R112" i="6" s="1"/>
  <c r="Q39" i="6"/>
  <c r="AC36" i="6"/>
  <c r="O94" i="6"/>
  <c r="R94" i="6" s="1"/>
  <c r="AB74" i="6"/>
  <c r="AE74" i="6" s="1"/>
  <c r="AC74" i="6"/>
  <c r="AF74" i="6" s="1"/>
  <c r="D18" i="6"/>
  <c r="AJ18" i="6" s="1"/>
  <c r="D15" i="6"/>
  <c r="AJ15" i="6" s="1"/>
  <c r="AJ41" i="6"/>
  <c r="D19" i="6"/>
  <c r="AJ19" i="6" s="1"/>
  <c r="S32" i="6"/>
  <c r="I11" i="4"/>
  <c r="I22" i="4" s="1"/>
  <c r="O73" i="6"/>
  <c r="S73" i="6" s="1"/>
  <c r="Q72" i="6"/>
  <c r="Q8" i="6"/>
  <c r="O75" i="6"/>
  <c r="S75" i="6" s="1"/>
  <c r="AC96" i="6"/>
  <c r="AF96" i="6" s="1"/>
  <c r="O117" i="6"/>
  <c r="R117" i="6" s="1"/>
  <c r="AC86" i="6"/>
  <c r="AF86" i="6" s="1"/>
  <c r="Q76" i="6"/>
  <c r="P5" i="6"/>
  <c r="G21" i="4"/>
  <c r="AB115" i="6"/>
  <c r="AE115" i="6" s="1"/>
  <c r="P33" i="6"/>
  <c r="P96" i="6"/>
  <c r="O15" i="6"/>
  <c r="S15" i="6" s="1"/>
  <c r="AB86" i="6"/>
  <c r="AE86" i="6" s="1"/>
  <c r="F23" i="4"/>
  <c r="AA5" i="6"/>
  <c r="AD5" i="6" s="1"/>
  <c r="AB5" i="6"/>
  <c r="AE5" i="6" s="1"/>
  <c r="AC101" i="6"/>
  <c r="AF101" i="6" s="1"/>
  <c r="AC9" i="6"/>
  <c r="AF9" i="6" s="1"/>
  <c r="AB34" i="6"/>
  <c r="AA36" i="6"/>
  <c r="AB36" i="6"/>
  <c r="AA34" i="6"/>
  <c r="AB42" i="6"/>
  <c r="AJ25" i="6"/>
  <c r="AJ8" i="6"/>
  <c r="AJ68" i="6"/>
  <c r="AJ81" i="6"/>
  <c r="AJ93" i="6"/>
  <c r="AJ123" i="6"/>
  <c r="AJ101" i="6"/>
  <c r="AJ99" i="6"/>
  <c r="AJ108" i="6"/>
  <c r="AJ85" i="6"/>
  <c r="AJ35" i="6"/>
  <c r="AJ39" i="6"/>
  <c r="AJ104" i="6"/>
  <c r="AJ31" i="6"/>
  <c r="I18" i="6"/>
  <c r="I15" i="6"/>
  <c r="I19" i="6"/>
  <c r="O69" i="6"/>
  <c r="S69" i="6" s="1"/>
  <c r="D23" i="4"/>
  <c r="F11" i="4"/>
  <c r="F22" i="4" s="1"/>
  <c r="O7" i="6"/>
  <c r="S7" i="6" s="1"/>
  <c r="H21" i="4"/>
  <c r="I21" i="4"/>
  <c r="Q125" i="6"/>
  <c r="AA88" i="6"/>
  <c r="AD88" i="6" s="1"/>
  <c r="O81" i="6"/>
  <c r="S81" i="6" s="1"/>
  <c r="H26" i="5"/>
  <c r="AB88" i="6"/>
  <c r="AE88" i="6" s="1"/>
  <c r="O22" i="6"/>
  <c r="S22" i="6" s="1"/>
  <c r="O38" i="6"/>
  <c r="S38" i="6" s="1"/>
  <c r="O72" i="6"/>
  <c r="R72" i="6" s="1"/>
  <c r="O8" i="6"/>
  <c r="S8" i="6" s="1"/>
  <c r="O25" i="6"/>
  <c r="S25" i="6" s="1"/>
  <c r="O127" i="6"/>
  <c r="S127" i="6" s="1"/>
  <c r="O80" i="6"/>
  <c r="S80" i="6" s="1"/>
  <c r="Q88" i="6"/>
  <c r="O9" i="6"/>
  <c r="S9" i="6" s="1"/>
  <c r="O102" i="6"/>
  <c r="R102" i="6" s="1"/>
  <c r="O121" i="6"/>
  <c r="S121" i="6" s="1"/>
  <c r="E11" i="4"/>
  <c r="E22" i="4" s="1"/>
  <c r="P7" i="6"/>
  <c r="Q7" i="6"/>
  <c r="AB38" i="6"/>
  <c r="AA116" i="6"/>
  <c r="AD116" i="6" s="1"/>
  <c r="O41" i="6"/>
  <c r="S41" i="6" s="1"/>
  <c r="O118" i="6"/>
  <c r="S118" i="6" s="1"/>
  <c r="P38" i="6"/>
  <c r="O105" i="6"/>
  <c r="R105" i="6" s="1"/>
  <c r="D11" i="4"/>
  <c r="D22" i="4" s="1"/>
  <c r="AC38" i="6"/>
  <c r="AB11" i="6"/>
  <c r="AE11" i="6" s="1"/>
  <c r="O126" i="6"/>
  <c r="S126" i="6" s="1"/>
  <c r="Q38" i="6"/>
  <c r="O88" i="6"/>
  <c r="S88" i="6" s="1"/>
  <c r="O23" i="6"/>
  <c r="S23" i="6" s="1"/>
  <c r="O125" i="6"/>
  <c r="S125" i="6" s="1"/>
  <c r="O90" i="6"/>
  <c r="S90" i="6" s="1"/>
  <c r="O101" i="6"/>
  <c r="S101" i="6" s="1"/>
  <c r="O16" i="6"/>
  <c r="R16" i="6" s="1"/>
  <c r="O97" i="6"/>
  <c r="S97" i="6" s="1"/>
  <c r="O77" i="6"/>
  <c r="R77" i="6" s="1"/>
  <c r="D26" i="5"/>
  <c r="AA115" i="6"/>
  <c r="AD115" i="6" s="1"/>
  <c r="AC94" i="6"/>
  <c r="AF94" i="6" s="1"/>
  <c r="AA94" i="6"/>
  <c r="AD94" i="6" s="1"/>
  <c r="AA42" i="6"/>
  <c r="AJ90" i="6"/>
  <c r="AJ69" i="6"/>
  <c r="AJ100" i="6"/>
  <c r="AJ114" i="6"/>
  <c r="AJ87" i="6"/>
  <c r="AJ33" i="6"/>
  <c r="AJ42" i="6"/>
  <c r="AJ5" i="6"/>
  <c r="AJ122" i="6"/>
  <c r="AJ82" i="6"/>
  <c r="AJ83" i="6"/>
  <c r="AJ103" i="6"/>
  <c r="AJ117" i="6"/>
  <c r="AJ78" i="6"/>
  <c r="AJ32" i="6"/>
  <c r="U116" i="6"/>
  <c r="W70" i="6"/>
  <c r="V116" i="6"/>
  <c r="X70" i="6"/>
  <c r="X20" i="6"/>
  <c r="V35" i="6"/>
  <c r="U35" i="6"/>
  <c r="T35" i="6"/>
  <c r="W110" i="6"/>
  <c r="W116" i="6"/>
  <c r="U20" i="6"/>
  <c r="T58" i="6"/>
  <c r="U58" i="6"/>
  <c r="O113" i="6"/>
  <c r="S113" i="6" s="1"/>
  <c r="X116" i="6"/>
  <c r="W56" i="6"/>
  <c r="V20" i="6"/>
  <c r="O104" i="6"/>
  <c r="S104" i="6" s="1"/>
  <c r="V17" i="6"/>
  <c r="W20" i="6"/>
  <c r="T7" i="6"/>
  <c r="AJ76" i="6"/>
  <c r="O107" i="6"/>
  <c r="S107" i="6" s="1"/>
  <c r="AA86" i="6"/>
  <c r="AD86" i="6" s="1"/>
  <c r="U7" i="6"/>
  <c r="U24" i="6"/>
  <c r="AJ34" i="6"/>
  <c r="Q6" i="6"/>
  <c r="P6" i="6"/>
  <c r="AC72" i="6"/>
  <c r="AF72" i="6" s="1"/>
  <c r="U110" i="6"/>
  <c r="X33" i="6"/>
  <c r="W33" i="6"/>
  <c r="V33" i="6"/>
  <c r="U33" i="6"/>
  <c r="T33" i="6"/>
  <c r="O122" i="6"/>
  <c r="S122" i="6" s="1"/>
  <c r="V55" i="6"/>
  <c r="AA8" i="6"/>
  <c r="T78" i="6"/>
  <c r="W55" i="6"/>
  <c r="P71" i="6"/>
  <c r="W17" i="6"/>
  <c r="X24" i="6"/>
  <c r="AB8" i="6"/>
  <c r="X52" i="6"/>
  <c r="W52" i="6"/>
  <c r="V52" i="6"/>
  <c r="U52" i="6"/>
  <c r="T52" i="6"/>
  <c r="O109" i="6"/>
  <c r="S109" i="6" s="1"/>
  <c r="R103" i="6"/>
  <c r="U78" i="6"/>
  <c r="X55" i="6"/>
  <c r="I16" i="6"/>
  <c r="X64" i="6"/>
  <c r="T82" i="6"/>
  <c r="U11" i="6"/>
  <c r="T11" i="6"/>
  <c r="X11" i="6"/>
  <c r="W11" i="6"/>
  <c r="V11" i="6"/>
  <c r="V29" i="6"/>
  <c r="U29" i="6"/>
  <c r="T29" i="6"/>
  <c r="X29" i="6"/>
  <c r="W29" i="6"/>
  <c r="O71" i="6"/>
  <c r="S71" i="6" s="1"/>
  <c r="AA11" i="6"/>
  <c r="AD11" i="6" s="1"/>
  <c r="O116" i="6"/>
  <c r="S116" i="6" s="1"/>
  <c r="V78" i="6"/>
  <c r="AB33" i="6"/>
  <c r="AA33" i="6"/>
  <c r="AC33" i="6"/>
  <c r="V30" i="6"/>
  <c r="E19" i="6"/>
  <c r="AB19" i="6" s="1"/>
  <c r="AE19" i="6" s="1"/>
  <c r="X22" i="6"/>
  <c r="W22" i="6"/>
  <c r="V22" i="6"/>
  <c r="U22" i="6"/>
  <c r="T22" i="6"/>
  <c r="V106" i="6"/>
  <c r="U106" i="6"/>
  <c r="X9" i="6"/>
  <c r="W9" i="6"/>
  <c r="E18" i="6"/>
  <c r="AC18" i="6" s="1"/>
  <c r="T50" i="6"/>
  <c r="U50" i="6"/>
  <c r="AC7" i="6"/>
  <c r="AB7" i="6"/>
  <c r="AA7" i="6"/>
  <c r="V62" i="6"/>
  <c r="X60" i="6"/>
  <c r="W60" i="6"/>
  <c r="V60" i="6"/>
  <c r="T60" i="6"/>
  <c r="U60" i="6"/>
  <c r="X37" i="6"/>
  <c r="W85" i="6"/>
  <c r="T9" i="6"/>
  <c r="AL42" i="6"/>
  <c r="T106" i="6"/>
  <c r="V36" i="6"/>
  <c r="AB21" i="6"/>
  <c r="AE21" i="6" s="1"/>
  <c r="E15" i="6"/>
  <c r="AB15" i="6" s="1"/>
  <c r="AE15" i="6" s="1"/>
  <c r="AA72" i="6"/>
  <c r="AD72" i="6" s="1"/>
  <c r="X106" i="6"/>
  <c r="O78" i="6"/>
  <c r="R78" i="6" s="1"/>
  <c r="W36" i="6"/>
  <c r="AC21" i="6"/>
  <c r="AF21" i="6" s="1"/>
  <c r="E16" i="6"/>
  <c r="AC16" i="6" s="1"/>
  <c r="AF16" i="6" s="1"/>
  <c r="AB72" i="6"/>
  <c r="AE72" i="6" s="1"/>
  <c r="AJ74" i="6"/>
  <c r="E25" i="5"/>
  <c r="E26" i="5" s="1"/>
  <c r="D52" i="5"/>
  <c r="U62" i="6"/>
  <c r="AJ79" i="6"/>
  <c r="W37" i="6"/>
  <c r="O37" i="6"/>
  <c r="S37" i="6" s="1"/>
  <c r="O99" i="6"/>
  <c r="R99" i="6" s="1"/>
  <c r="AJ9" i="6"/>
  <c r="O108" i="6"/>
  <c r="S108" i="6" s="1"/>
  <c r="T30" i="6"/>
  <c r="X85" i="6"/>
  <c r="H11" i="4"/>
  <c r="H22" i="4" s="1"/>
  <c r="U30" i="6"/>
  <c r="V85" i="6"/>
  <c r="O70" i="6"/>
  <c r="S70" i="6" s="1"/>
  <c r="O93" i="6"/>
  <c r="S93" i="6" s="1"/>
  <c r="U36" i="6"/>
  <c r="P88" i="6"/>
  <c r="AJ120" i="6"/>
  <c r="AJ118" i="6"/>
  <c r="O79" i="6"/>
  <c r="S79" i="6" s="1"/>
  <c r="P94" i="6"/>
  <c r="AL8" i="6"/>
  <c r="P8" i="6"/>
  <c r="W16" i="6"/>
  <c r="T16" i="6"/>
  <c r="V16" i="6"/>
  <c r="P105" i="6"/>
  <c r="Q105" i="6"/>
  <c r="X80" i="6"/>
  <c r="W80" i="6"/>
  <c r="V80" i="6"/>
  <c r="U80" i="6"/>
  <c r="T80" i="6"/>
  <c r="AA35" i="6"/>
  <c r="AB35" i="6"/>
  <c r="AC35" i="6"/>
  <c r="W62" i="6"/>
  <c r="Q35" i="6"/>
  <c r="O124" i="6"/>
  <c r="S124" i="6" s="1"/>
  <c r="AB116" i="6"/>
  <c r="AE116" i="6" s="1"/>
  <c r="U85" i="6"/>
  <c r="AJ94" i="6"/>
  <c r="AC116" i="6"/>
  <c r="AF116" i="6" s="1"/>
  <c r="R10" i="6"/>
  <c r="X31" i="6"/>
  <c r="W31" i="6"/>
  <c r="V31" i="6"/>
  <c r="U31" i="6"/>
  <c r="T31" i="6"/>
  <c r="T17" i="6"/>
  <c r="X110" i="6"/>
  <c r="T13" i="6"/>
  <c r="X13" i="6"/>
  <c r="U13" i="6"/>
  <c r="W13" i="6"/>
  <c r="V13" i="6"/>
  <c r="AJ106" i="6"/>
  <c r="O92" i="6"/>
  <c r="R92" i="6" s="1"/>
  <c r="AL116" i="6"/>
  <c r="F21" i="4"/>
  <c r="P72" i="6"/>
  <c r="X71" i="6"/>
  <c r="AJ96" i="6"/>
  <c r="U34" i="6"/>
  <c r="T34" i="6"/>
  <c r="X34" i="6"/>
  <c r="V34" i="6"/>
  <c r="W34" i="6"/>
  <c r="O100" i="6"/>
  <c r="R100" i="6" s="1"/>
  <c r="O35" i="6"/>
  <c r="R35" i="6" s="1"/>
  <c r="AJ98" i="6"/>
  <c r="W64" i="6"/>
  <c r="U64" i="6"/>
  <c r="O42" i="6"/>
  <c r="S42" i="6" s="1"/>
  <c r="T36" i="6"/>
  <c r="W106" i="6"/>
  <c r="X30" i="6"/>
  <c r="AJ115" i="6"/>
  <c r="AJ84" i="6"/>
  <c r="P35" i="6"/>
  <c r="AJ36" i="6"/>
  <c r="O6" i="6"/>
  <c r="S6" i="6" s="1"/>
  <c r="Q119" i="6"/>
  <c r="P119" i="6"/>
  <c r="R31" i="6"/>
  <c r="Q31" i="6"/>
  <c r="P31" i="6"/>
  <c r="AC99" i="6"/>
  <c r="AF99" i="6" s="1"/>
  <c r="AB99" i="6"/>
  <c r="AE99" i="6" s="1"/>
  <c r="AA99" i="6"/>
  <c r="AD99" i="6" s="1"/>
  <c r="T43" i="6"/>
  <c r="X43" i="6"/>
  <c r="W43" i="6"/>
  <c r="U43" i="6"/>
  <c r="V43" i="6"/>
  <c r="AJ16" i="6"/>
  <c r="AL16" i="6"/>
  <c r="V121" i="6"/>
  <c r="T121" i="6"/>
  <c r="W121" i="6"/>
  <c r="U121" i="6"/>
  <c r="X121" i="6"/>
  <c r="X19" i="6"/>
  <c r="V19" i="6"/>
  <c r="U19" i="6"/>
  <c r="W19" i="6"/>
  <c r="T19" i="6"/>
  <c r="AB82" i="6"/>
  <c r="AE82" i="6" s="1"/>
  <c r="AA82" i="6"/>
  <c r="AD82" i="6" s="1"/>
  <c r="AC82" i="6"/>
  <c r="AF82" i="6" s="1"/>
  <c r="AJ91" i="6"/>
  <c r="AL91" i="6"/>
  <c r="P110" i="6"/>
  <c r="Q110" i="6"/>
  <c r="O110" i="6"/>
  <c r="S110" i="6" s="1"/>
  <c r="X5" i="6"/>
  <c r="W5" i="6"/>
  <c r="V5" i="6"/>
  <c r="U5" i="6"/>
  <c r="T5" i="6"/>
  <c r="X100" i="6"/>
  <c r="W100" i="6"/>
  <c r="V100" i="6"/>
  <c r="U100" i="6"/>
  <c r="T100" i="6"/>
  <c r="X76" i="6"/>
  <c r="W76" i="6"/>
  <c r="U76" i="6"/>
  <c r="V76" i="6"/>
  <c r="T76" i="6"/>
  <c r="AA95" i="6"/>
  <c r="AD95" i="6" s="1"/>
  <c r="AC95" i="6"/>
  <c r="AF95" i="6" s="1"/>
  <c r="AB95" i="6"/>
  <c r="AE95" i="6" s="1"/>
  <c r="AJ73" i="6"/>
  <c r="AL73" i="6"/>
  <c r="AA120" i="6"/>
  <c r="AC120" i="6"/>
  <c r="AB120" i="6"/>
  <c r="O26" i="6"/>
  <c r="S26" i="6" s="1"/>
  <c r="U74" i="6"/>
  <c r="T74" i="6"/>
  <c r="X74" i="6"/>
  <c r="W74" i="6"/>
  <c r="V74" i="6"/>
  <c r="Q91" i="6"/>
  <c r="P91" i="6"/>
  <c r="O27" i="6"/>
  <c r="S27" i="6" s="1"/>
  <c r="P26" i="6"/>
  <c r="Q26" i="6"/>
  <c r="AJ88" i="6"/>
  <c r="AJ113" i="6"/>
  <c r="Q98" i="6"/>
  <c r="P98" i="6"/>
  <c r="AC98" i="6"/>
  <c r="AF98" i="6" s="1"/>
  <c r="AB98" i="6"/>
  <c r="AE98" i="6" s="1"/>
  <c r="AA98" i="6"/>
  <c r="AD98" i="6" s="1"/>
  <c r="O98" i="6"/>
  <c r="S98" i="6" s="1"/>
  <c r="V120" i="6"/>
  <c r="U120" i="6"/>
  <c r="T120" i="6"/>
  <c r="X120" i="6"/>
  <c r="W120" i="6"/>
  <c r="Q82" i="6"/>
  <c r="P82" i="6"/>
  <c r="Q27" i="6"/>
  <c r="P27" i="6"/>
  <c r="AA121" i="6"/>
  <c r="AC121" i="6"/>
  <c r="AB121" i="6"/>
  <c r="AB114" i="6"/>
  <c r="AE114" i="6" s="1"/>
  <c r="AC114" i="6"/>
  <c r="AF114" i="6" s="1"/>
  <c r="AA114" i="6"/>
  <c r="AD114" i="6" s="1"/>
  <c r="Q28" i="6"/>
  <c r="P28" i="6"/>
  <c r="Q83" i="6"/>
  <c r="P83" i="6"/>
  <c r="W14" i="6"/>
  <c r="V14" i="6"/>
  <c r="U14" i="6"/>
  <c r="T14" i="6"/>
  <c r="X14" i="6"/>
  <c r="X91" i="6"/>
  <c r="V91" i="6"/>
  <c r="W91" i="6"/>
  <c r="U91" i="6"/>
  <c r="T91" i="6"/>
  <c r="U48" i="6"/>
  <c r="V48" i="6"/>
  <c r="W48" i="6"/>
  <c r="X48" i="6"/>
  <c r="T48" i="6"/>
  <c r="AC77" i="6"/>
  <c r="AF77" i="6" s="1"/>
  <c r="AB77" i="6"/>
  <c r="AE77" i="6" s="1"/>
  <c r="AA77" i="6"/>
  <c r="AD77" i="6" s="1"/>
  <c r="O28" i="6"/>
  <c r="S28" i="6" s="1"/>
  <c r="Q29" i="6"/>
  <c r="AC29" i="6"/>
  <c r="AB29" i="6"/>
  <c r="AA29" i="6"/>
  <c r="P29" i="6"/>
  <c r="Q68" i="6"/>
  <c r="P68" i="6"/>
  <c r="X127" i="6"/>
  <c r="V127" i="6"/>
  <c r="T127" i="6"/>
  <c r="W127" i="6"/>
  <c r="U127" i="6"/>
  <c r="AL122" i="6"/>
  <c r="W104" i="6"/>
  <c r="U104" i="6"/>
  <c r="X104" i="6"/>
  <c r="V104" i="6"/>
  <c r="T104" i="6"/>
  <c r="W39" i="6"/>
  <c r="V39" i="6"/>
  <c r="U39" i="6"/>
  <c r="X39" i="6"/>
  <c r="T39" i="6"/>
  <c r="AA75" i="6"/>
  <c r="AD75" i="6" s="1"/>
  <c r="AB75" i="6"/>
  <c r="AE75" i="6" s="1"/>
  <c r="AC75" i="6"/>
  <c r="AF75" i="6" s="1"/>
  <c r="AB71" i="6"/>
  <c r="AE71" i="6" s="1"/>
  <c r="AA71" i="6"/>
  <c r="AD71" i="6" s="1"/>
  <c r="AC71" i="6"/>
  <c r="AF71" i="6" s="1"/>
  <c r="AC97" i="6"/>
  <c r="AF97" i="6" s="1"/>
  <c r="AB97" i="6"/>
  <c r="AE97" i="6" s="1"/>
  <c r="AA97" i="6"/>
  <c r="AD97" i="6" s="1"/>
  <c r="P104" i="6"/>
  <c r="Q104" i="6"/>
  <c r="Q118" i="6"/>
  <c r="P118" i="6"/>
  <c r="T101" i="6"/>
  <c r="X101" i="6"/>
  <c r="W101" i="6"/>
  <c r="V101" i="6"/>
  <c r="U101" i="6"/>
  <c r="AL78" i="6"/>
  <c r="W67" i="6"/>
  <c r="V67" i="6"/>
  <c r="U67" i="6"/>
  <c r="T67" i="6"/>
  <c r="X67" i="6"/>
  <c r="P41" i="6"/>
  <c r="Q41" i="6"/>
  <c r="AC102" i="6"/>
  <c r="AF102" i="6" s="1"/>
  <c r="AB102" i="6"/>
  <c r="AE102" i="6" s="1"/>
  <c r="AA102" i="6"/>
  <c r="AD102" i="6" s="1"/>
  <c r="AC110" i="6"/>
  <c r="AF110" i="6" s="1"/>
  <c r="AB110" i="6"/>
  <c r="AE110" i="6" s="1"/>
  <c r="AA110" i="6"/>
  <c r="AD110" i="6" s="1"/>
  <c r="D20" i="4"/>
  <c r="Q106" i="6"/>
  <c r="P106" i="6"/>
  <c r="T79" i="6"/>
  <c r="V79" i="6"/>
  <c r="U79" i="6"/>
  <c r="X79" i="6"/>
  <c r="W79" i="6"/>
  <c r="E23" i="4"/>
  <c r="AB9" i="6"/>
  <c r="AE9" i="6" s="1"/>
  <c r="W28" i="6"/>
  <c r="V28" i="6"/>
  <c r="U28" i="6"/>
  <c r="X28" i="6"/>
  <c r="T28" i="6"/>
  <c r="AB124" i="6"/>
  <c r="AA124" i="6"/>
  <c r="AC124" i="6"/>
  <c r="Q37" i="6"/>
  <c r="P37" i="6"/>
  <c r="AC32" i="6"/>
  <c r="AB32" i="6"/>
  <c r="AA32" i="6"/>
  <c r="AC91" i="6"/>
  <c r="AF91" i="6" s="1"/>
  <c r="AB91" i="6"/>
  <c r="AE91" i="6" s="1"/>
  <c r="AA91" i="6"/>
  <c r="AD91" i="6" s="1"/>
  <c r="Q15" i="6"/>
  <c r="P15" i="6"/>
  <c r="Q107" i="6"/>
  <c r="P107" i="6"/>
  <c r="X73" i="6"/>
  <c r="W73" i="6"/>
  <c r="U73" i="6"/>
  <c r="V73" i="6"/>
  <c r="T73" i="6"/>
  <c r="U103" i="6"/>
  <c r="W103" i="6"/>
  <c r="V103" i="6"/>
  <c r="T103" i="6"/>
  <c r="X103" i="6"/>
  <c r="W41" i="6"/>
  <c r="V41" i="6"/>
  <c r="X41" i="6"/>
  <c r="U41" i="6"/>
  <c r="T41" i="6"/>
  <c r="U118" i="6"/>
  <c r="T118" i="6"/>
  <c r="X118" i="6"/>
  <c r="W118" i="6"/>
  <c r="V118" i="6"/>
  <c r="AA73" i="6"/>
  <c r="AD73" i="6" s="1"/>
  <c r="AC73" i="6"/>
  <c r="AF73" i="6" s="1"/>
  <c r="AB73" i="6"/>
  <c r="AE73" i="6" s="1"/>
  <c r="AC123" i="6"/>
  <c r="AF123" i="6" s="1"/>
  <c r="AB123" i="6"/>
  <c r="AE123" i="6" s="1"/>
  <c r="AA123" i="6"/>
  <c r="AD123" i="6" s="1"/>
  <c r="Q69" i="6"/>
  <c r="P69" i="6"/>
  <c r="X57" i="6"/>
  <c r="W57" i="6"/>
  <c r="V57" i="6"/>
  <c r="U57" i="6"/>
  <c r="T57" i="6"/>
  <c r="AL111" i="6"/>
  <c r="AL87" i="6"/>
  <c r="O68" i="6"/>
  <c r="S68" i="6" s="1"/>
  <c r="AC78" i="6"/>
  <c r="AF78" i="6" s="1"/>
  <c r="AA78" i="6"/>
  <c r="AD78" i="6" s="1"/>
  <c r="AB78" i="6"/>
  <c r="AE78" i="6" s="1"/>
  <c r="AA93" i="6"/>
  <c r="AD93" i="6" s="1"/>
  <c r="AC93" i="6"/>
  <c r="AF93" i="6" s="1"/>
  <c r="AB93" i="6"/>
  <c r="AE93" i="6" s="1"/>
  <c r="Q90" i="6"/>
  <c r="P90" i="6"/>
  <c r="Q101" i="6"/>
  <c r="P101" i="6"/>
  <c r="X12" i="6"/>
  <c r="W12" i="6"/>
  <c r="V12" i="6"/>
  <c r="T12" i="6"/>
  <c r="U12" i="6"/>
  <c r="AL120" i="6"/>
  <c r="AB128" i="6"/>
  <c r="AE128" i="6" s="1"/>
  <c r="AJ72" i="6"/>
  <c r="AJ125" i="6"/>
  <c r="T88" i="6"/>
  <c r="W88" i="6"/>
  <c r="V88" i="6"/>
  <c r="X88" i="6"/>
  <c r="U88" i="6"/>
  <c r="Q113" i="6"/>
  <c r="P113" i="6"/>
  <c r="O12" i="6"/>
  <c r="S12" i="6" s="1"/>
  <c r="O84" i="6"/>
  <c r="AC105" i="6"/>
  <c r="AF105" i="6" s="1"/>
  <c r="AB105" i="6"/>
  <c r="AE105" i="6" s="1"/>
  <c r="AA105" i="6"/>
  <c r="AD105" i="6" s="1"/>
  <c r="AC125" i="6"/>
  <c r="AB125" i="6"/>
  <c r="AA125" i="6"/>
  <c r="Q121" i="6"/>
  <c r="P121" i="6"/>
  <c r="Q127" i="6"/>
  <c r="P127" i="6"/>
  <c r="W83" i="6"/>
  <c r="V83" i="6"/>
  <c r="U83" i="6"/>
  <c r="T83" i="6"/>
  <c r="X83" i="6"/>
  <c r="AA128" i="6"/>
  <c r="AD128" i="6" s="1"/>
  <c r="AA101" i="6"/>
  <c r="AD101" i="6" s="1"/>
  <c r="V49" i="6"/>
  <c r="U49" i="6"/>
  <c r="X49" i="6"/>
  <c r="W49" i="6"/>
  <c r="T49" i="6"/>
  <c r="O87" i="6"/>
  <c r="S87" i="6" s="1"/>
  <c r="AL110" i="6"/>
  <c r="O120" i="6"/>
  <c r="S120" i="6" s="1"/>
  <c r="AC122" i="6"/>
  <c r="AA122" i="6"/>
  <c r="AB122" i="6"/>
  <c r="Q95" i="6"/>
  <c r="P95" i="6"/>
  <c r="Q116" i="6"/>
  <c r="P116" i="6"/>
  <c r="X75" i="6"/>
  <c r="W75" i="6"/>
  <c r="V75" i="6"/>
  <c r="U75" i="6"/>
  <c r="T75" i="6"/>
  <c r="AL107" i="6"/>
  <c r="X10" i="6"/>
  <c r="W10" i="6"/>
  <c r="V10" i="6"/>
  <c r="U10" i="6"/>
  <c r="T10" i="6"/>
  <c r="AC128" i="6"/>
  <c r="AF128" i="6" s="1"/>
  <c r="AJ75" i="6"/>
  <c r="AB101" i="6"/>
  <c r="AE101" i="6" s="1"/>
  <c r="AL69" i="6"/>
  <c r="X68" i="6"/>
  <c r="W68" i="6"/>
  <c r="V68" i="6"/>
  <c r="U68" i="6"/>
  <c r="T68" i="6"/>
  <c r="AJ38" i="6"/>
  <c r="AJ7" i="6"/>
  <c r="AJ29" i="6"/>
  <c r="AA25" i="6"/>
  <c r="AB25" i="6"/>
  <c r="AC25" i="6"/>
  <c r="AJ95" i="6"/>
  <c r="Q123" i="6"/>
  <c r="P123" i="6"/>
  <c r="AL105" i="6"/>
  <c r="AC69" i="6"/>
  <c r="AF69" i="6" s="1"/>
  <c r="AB69" i="6"/>
  <c r="AE69" i="6" s="1"/>
  <c r="AA69" i="6"/>
  <c r="AD69" i="6" s="1"/>
  <c r="AA112" i="6"/>
  <c r="AD112" i="6" s="1"/>
  <c r="D36" i="5"/>
  <c r="AC81" i="6"/>
  <c r="AF81" i="6" s="1"/>
  <c r="AB81" i="6"/>
  <c r="AE81" i="6" s="1"/>
  <c r="AA81" i="6"/>
  <c r="AD81" i="6" s="1"/>
  <c r="AG81" i="6" s="1"/>
  <c r="AL27" i="6"/>
  <c r="AJ105" i="6"/>
  <c r="AB70" i="6"/>
  <c r="AE70" i="6" s="1"/>
  <c r="AA70" i="6"/>
  <c r="AD70" i="6" s="1"/>
  <c r="AC70" i="6"/>
  <c r="AF70" i="6" s="1"/>
  <c r="O17" i="6"/>
  <c r="S17" i="6" s="1"/>
  <c r="AC83" i="6"/>
  <c r="AF83" i="6" s="1"/>
  <c r="AB83" i="6"/>
  <c r="AE83" i="6" s="1"/>
  <c r="AA83" i="6"/>
  <c r="AD83" i="6" s="1"/>
  <c r="V96" i="6"/>
  <c r="X96" i="6"/>
  <c r="U96" i="6"/>
  <c r="W96" i="6"/>
  <c r="T96" i="6"/>
  <c r="Q19" i="6"/>
  <c r="P19" i="6"/>
  <c r="AL117" i="6"/>
  <c r="AJ70" i="6"/>
  <c r="T122" i="6"/>
  <c r="V122" i="6"/>
  <c r="X122" i="6"/>
  <c r="W122" i="6"/>
  <c r="U122" i="6"/>
  <c r="P108" i="6"/>
  <c r="Q108" i="6"/>
  <c r="P42" i="6"/>
  <c r="Q42" i="6"/>
  <c r="AL112" i="6"/>
  <c r="Q10" i="6"/>
  <c r="P10" i="6"/>
  <c r="AC10" i="6"/>
  <c r="AF10" i="6" s="1"/>
  <c r="AB10" i="6"/>
  <c r="AE10" i="6" s="1"/>
  <c r="AA10" i="6"/>
  <c r="AD10" i="6" s="1"/>
  <c r="O30" i="6"/>
  <c r="S30" i="6" s="1"/>
  <c r="AC85" i="6"/>
  <c r="AF85" i="6" s="1"/>
  <c r="AB85" i="6"/>
  <c r="AE85" i="6" s="1"/>
  <c r="AA85" i="6"/>
  <c r="AD85" i="6" s="1"/>
  <c r="AJ6" i="6"/>
  <c r="X46" i="6"/>
  <c r="W46" i="6"/>
  <c r="V46" i="6"/>
  <c r="T46" i="6"/>
  <c r="U46" i="6"/>
  <c r="Q77" i="6"/>
  <c r="P77" i="6"/>
  <c r="S31" i="6"/>
  <c r="AB28" i="6"/>
  <c r="AA28" i="6"/>
  <c r="AC28" i="6"/>
  <c r="AA89" i="6"/>
  <c r="AD89" i="6" s="1"/>
  <c r="AB89" i="6"/>
  <c r="AE89" i="6" s="1"/>
  <c r="AC89" i="6"/>
  <c r="AF89" i="6" s="1"/>
  <c r="Q111" i="6"/>
  <c r="P111" i="6"/>
  <c r="P78" i="6"/>
  <c r="Q78" i="6"/>
  <c r="AB20" i="6"/>
  <c r="AE20" i="6" s="1"/>
  <c r="Q122" i="6"/>
  <c r="AJ40" i="6"/>
  <c r="AJ71" i="6"/>
  <c r="Q80" i="6"/>
  <c r="P80" i="6"/>
  <c r="AL104" i="6"/>
  <c r="AL125" i="6"/>
  <c r="AL98" i="6"/>
  <c r="AL95" i="6"/>
  <c r="AL81" i="6"/>
  <c r="AL121" i="6"/>
  <c r="AL118" i="6"/>
  <c r="AL96" i="6"/>
  <c r="AL76" i="6"/>
  <c r="D42" i="5"/>
  <c r="AL94" i="6"/>
  <c r="AL109" i="6"/>
  <c r="AL75" i="6"/>
  <c r="AL72" i="6"/>
  <c r="AL90" i="6"/>
  <c r="AL39" i="6"/>
  <c r="AL35" i="6"/>
  <c r="AL30" i="6"/>
  <c r="AL74" i="6"/>
  <c r="AL99" i="6"/>
  <c r="AL12" i="6"/>
  <c r="AL124" i="6"/>
  <c r="AL100" i="6"/>
  <c r="AL128" i="6"/>
  <c r="AL13" i="6"/>
  <c r="AL93" i="6"/>
  <c r="AL41" i="6"/>
  <c r="AL22" i="6"/>
  <c r="AL102" i="6"/>
  <c r="AL119" i="6"/>
  <c r="AL77" i="6"/>
  <c r="AL33" i="6"/>
  <c r="AL36" i="6"/>
  <c r="AL23" i="6"/>
  <c r="AL11" i="6"/>
  <c r="G31" i="5"/>
  <c r="AL113" i="6"/>
  <c r="AL26" i="6"/>
  <c r="AL31" i="6"/>
  <c r="AL82" i="6"/>
  <c r="AL10" i="6"/>
  <c r="AL108" i="6"/>
  <c r="AL40" i="6"/>
  <c r="F31" i="5"/>
  <c r="AL28" i="6"/>
  <c r="E31" i="5"/>
  <c r="D31" i="5"/>
  <c r="AL34" i="6"/>
  <c r="AL18" i="6"/>
  <c r="AL21" i="6"/>
  <c r="AL38" i="6"/>
  <c r="AL7" i="6"/>
  <c r="AL5" i="6"/>
  <c r="Q102" i="6"/>
  <c r="P102" i="6"/>
  <c r="Q100" i="6"/>
  <c r="P100" i="6"/>
  <c r="AL106" i="6"/>
  <c r="Q89" i="6"/>
  <c r="P89" i="6"/>
  <c r="AL89" i="6"/>
  <c r="P17" i="6"/>
  <c r="Q17" i="6"/>
  <c r="P125" i="6"/>
  <c r="AJ111" i="6"/>
  <c r="X102" i="6"/>
  <c r="T102" i="6"/>
  <c r="W102" i="6"/>
  <c r="V102" i="6"/>
  <c r="U102" i="6"/>
  <c r="AC100" i="6"/>
  <c r="AF100" i="6" s="1"/>
  <c r="AB100" i="6"/>
  <c r="AE100" i="6" s="1"/>
  <c r="AA100" i="6"/>
  <c r="AD100" i="6" s="1"/>
  <c r="W115" i="6"/>
  <c r="X115" i="6"/>
  <c r="V115" i="6"/>
  <c r="U115" i="6"/>
  <c r="T115" i="6"/>
  <c r="AC39" i="6"/>
  <c r="AB39" i="6"/>
  <c r="AA39" i="6"/>
  <c r="AA17" i="6"/>
  <c r="AB17" i="6"/>
  <c r="AC17" i="6"/>
  <c r="AC111" i="6"/>
  <c r="AF111" i="6" s="1"/>
  <c r="AA111" i="6"/>
  <c r="AD111" i="6" s="1"/>
  <c r="AB111" i="6"/>
  <c r="AE111" i="6" s="1"/>
  <c r="AL114" i="6"/>
  <c r="Q21" i="6"/>
  <c r="P21" i="6"/>
  <c r="O21" i="6"/>
  <c r="S21" i="6" s="1"/>
  <c r="AC118" i="6"/>
  <c r="AB118" i="6"/>
  <c r="AA118" i="6"/>
  <c r="AL101" i="6"/>
  <c r="P85" i="6"/>
  <c r="Q85" i="6"/>
  <c r="Q75" i="6"/>
  <c r="P75" i="6"/>
  <c r="O85" i="6"/>
  <c r="S85" i="6" s="1"/>
  <c r="AC31" i="6"/>
  <c r="AB31" i="6"/>
  <c r="AA31" i="6"/>
  <c r="AC90" i="6"/>
  <c r="AF90" i="6" s="1"/>
  <c r="AA90" i="6"/>
  <c r="AD90" i="6" s="1"/>
  <c r="AB90" i="6"/>
  <c r="AE90" i="6" s="1"/>
  <c r="Q126" i="6"/>
  <c r="P126" i="6"/>
  <c r="AL6" i="6"/>
  <c r="AJ77" i="6"/>
  <c r="AJ92" i="6"/>
  <c r="C25" i="9"/>
  <c r="E25" i="9" s="1"/>
  <c r="U109" i="6"/>
  <c r="W109" i="6"/>
  <c r="T109" i="6"/>
  <c r="X109" i="6"/>
  <c r="V109" i="6"/>
  <c r="AL103" i="6"/>
  <c r="AC37" i="6"/>
  <c r="AA37" i="6"/>
  <c r="AB37" i="6"/>
  <c r="Q40" i="6"/>
  <c r="P40" i="6"/>
  <c r="AC40" i="6"/>
  <c r="AB40" i="6"/>
  <c r="AA40" i="6"/>
  <c r="W113" i="6"/>
  <c r="V113" i="6"/>
  <c r="U113" i="6"/>
  <c r="X113" i="6"/>
  <c r="T113" i="6"/>
  <c r="AC112" i="6"/>
  <c r="AF112" i="6" s="1"/>
  <c r="P84" i="6"/>
  <c r="Q84" i="6"/>
  <c r="AB107" i="6"/>
  <c r="AE107" i="6" s="1"/>
  <c r="AA107" i="6"/>
  <c r="AD107" i="6" s="1"/>
  <c r="AC107" i="6"/>
  <c r="AF107" i="6" s="1"/>
  <c r="U77" i="6"/>
  <c r="W77" i="6"/>
  <c r="X77" i="6"/>
  <c r="V77" i="6"/>
  <c r="T77" i="6"/>
  <c r="O83" i="6"/>
  <c r="S83" i="6" s="1"/>
  <c r="AB112" i="6"/>
  <c r="AE112" i="6" s="1"/>
  <c r="X125" i="6"/>
  <c r="W125" i="6"/>
  <c r="V125" i="6"/>
  <c r="U125" i="6"/>
  <c r="T125" i="6"/>
  <c r="Q14" i="6"/>
  <c r="P14" i="6"/>
  <c r="AB14" i="6"/>
  <c r="AE14" i="6" s="1"/>
  <c r="AA14" i="6"/>
  <c r="AD14" i="6" s="1"/>
  <c r="AC14" i="6"/>
  <c r="AF14" i="6" s="1"/>
  <c r="X93" i="6"/>
  <c r="W93" i="6"/>
  <c r="V93" i="6"/>
  <c r="U93" i="6"/>
  <c r="T93" i="6"/>
  <c r="AL79" i="6"/>
  <c r="O14" i="6"/>
  <c r="S14" i="6" s="1"/>
  <c r="AB80" i="6"/>
  <c r="AE80" i="6" s="1"/>
  <c r="AC80" i="6"/>
  <c r="AF80" i="6" s="1"/>
  <c r="AA80" i="6"/>
  <c r="AD80" i="6" s="1"/>
  <c r="W87" i="6"/>
  <c r="X87" i="6"/>
  <c r="V87" i="6"/>
  <c r="U87" i="6"/>
  <c r="T87" i="6"/>
  <c r="AJ30" i="6"/>
  <c r="Q117" i="6"/>
  <c r="P117" i="6"/>
  <c r="Q18" i="6"/>
  <c r="P18" i="6"/>
  <c r="AL126" i="6"/>
  <c r="O123" i="6"/>
  <c r="S123" i="6" s="1"/>
  <c r="AL25" i="6"/>
  <c r="AC113" i="6"/>
  <c r="AF113" i="6" s="1"/>
  <c r="AB113" i="6"/>
  <c r="AE113" i="6" s="1"/>
  <c r="AA113" i="6"/>
  <c r="AD113" i="6" s="1"/>
  <c r="AA106" i="6"/>
  <c r="AD106" i="6" s="1"/>
  <c r="AB106" i="6"/>
  <c r="AE106" i="6" s="1"/>
  <c r="AC106" i="6"/>
  <c r="AF106" i="6" s="1"/>
  <c r="P99" i="6"/>
  <c r="Q99" i="6"/>
  <c r="V128" i="6"/>
  <c r="U128" i="6"/>
  <c r="X128" i="6"/>
  <c r="W128" i="6"/>
  <c r="T128" i="6"/>
  <c r="Q94" i="6"/>
  <c r="O19" i="6"/>
  <c r="S19" i="6" s="1"/>
  <c r="Q20" i="6"/>
  <c r="P20" i="6"/>
  <c r="AJ109" i="6"/>
  <c r="U66" i="6"/>
  <c r="W66" i="6"/>
  <c r="T66" i="6"/>
  <c r="X66" i="6"/>
  <c r="V66" i="6"/>
  <c r="AA6" i="6"/>
  <c r="AD6" i="6" s="1"/>
  <c r="AC6" i="6"/>
  <c r="AF6" i="6" s="1"/>
  <c r="AB6" i="6"/>
  <c r="AE6" i="6" s="1"/>
  <c r="AC42" i="6"/>
  <c r="AA84" i="6"/>
  <c r="AD84" i="6" s="1"/>
  <c r="AC84" i="6"/>
  <c r="AF84" i="6" s="1"/>
  <c r="AB84" i="6"/>
  <c r="AE84" i="6" s="1"/>
  <c r="Q97" i="6"/>
  <c r="P97" i="6"/>
  <c r="AA27" i="6"/>
  <c r="AB27" i="6"/>
  <c r="AC27" i="6"/>
  <c r="Q103" i="6"/>
  <c r="P103" i="6"/>
  <c r="AA20" i="6"/>
  <c r="AD20" i="6" s="1"/>
  <c r="P122" i="6"/>
  <c r="AL115" i="6"/>
  <c r="X44" i="6"/>
  <c r="W44" i="6"/>
  <c r="V44" i="6"/>
  <c r="U44" i="6"/>
  <c r="T44" i="6"/>
  <c r="O111" i="6"/>
  <c r="S111" i="6" s="1"/>
  <c r="O82" i="6"/>
  <c r="S82" i="6" s="1"/>
  <c r="AA104" i="6"/>
  <c r="AD104" i="6" s="1"/>
  <c r="AC104" i="6"/>
  <c r="AF104" i="6" s="1"/>
  <c r="AB104" i="6"/>
  <c r="AE104" i="6" s="1"/>
  <c r="AC117" i="6"/>
  <c r="AF117" i="6" s="1"/>
  <c r="AB117" i="6"/>
  <c r="AE117" i="6" s="1"/>
  <c r="AA117" i="6"/>
  <c r="AD117" i="6" s="1"/>
  <c r="P16" i="6"/>
  <c r="Q16" i="6"/>
  <c r="Q79" i="6"/>
  <c r="P79" i="6"/>
  <c r="AL85" i="6"/>
  <c r="G12" i="4"/>
  <c r="G23" i="4" s="1"/>
  <c r="G11" i="4"/>
  <c r="G22" i="4" s="1"/>
  <c r="X97" i="6"/>
  <c r="U97" i="6"/>
  <c r="T97" i="6"/>
  <c r="W97" i="6"/>
  <c r="V97" i="6"/>
  <c r="X105" i="6"/>
  <c r="W105" i="6"/>
  <c r="V105" i="6"/>
  <c r="T105" i="6"/>
  <c r="U105" i="6"/>
  <c r="X65" i="6"/>
  <c r="U65" i="6"/>
  <c r="W65" i="6"/>
  <c r="V65" i="6"/>
  <c r="T65" i="6"/>
  <c r="AB108" i="6"/>
  <c r="AE108" i="6" s="1"/>
  <c r="AC108" i="6"/>
  <c r="AF108" i="6" s="1"/>
  <c r="AA108" i="6"/>
  <c r="AD108" i="6" s="1"/>
  <c r="AB103" i="6"/>
  <c r="AE103" i="6" s="1"/>
  <c r="AC103" i="6"/>
  <c r="AF103" i="6" s="1"/>
  <c r="AA103" i="6"/>
  <c r="AD103" i="6" s="1"/>
  <c r="Q9" i="6"/>
  <c r="P9" i="6"/>
  <c r="W81" i="6"/>
  <c r="X81" i="6"/>
  <c r="U81" i="6"/>
  <c r="V81" i="6"/>
  <c r="T81" i="6"/>
  <c r="AL20" i="6"/>
  <c r="AL15" i="6"/>
  <c r="AB79" i="6"/>
  <c r="AE79" i="6" s="1"/>
  <c r="AC79" i="6"/>
  <c r="AF79" i="6" s="1"/>
  <c r="AA79" i="6"/>
  <c r="AD79" i="6" s="1"/>
  <c r="AA9" i="6"/>
  <c r="AD9" i="6" s="1"/>
  <c r="V92" i="6"/>
  <c r="W92" i="6"/>
  <c r="X92" i="6"/>
  <c r="U92" i="6"/>
  <c r="T92" i="6"/>
  <c r="P11" i="6"/>
  <c r="Q11" i="6"/>
  <c r="AB92" i="6"/>
  <c r="AE92" i="6" s="1"/>
  <c r="AA92" i="6"/>
  <c r="AD92" i="6" s="1"/>
  <c r="AC92" i="6"/>
  <c r="AF92" i="6" s="1"/>
  <c r="W95" i="6"/>
  <c r="V95" i="6"/>
  <c r="U95" i="6"/>
  <c r="T95" i="6"/>
  <c r="X95" i="6"/>
  <c r="V89" i="6"/>
  <c r="X89" i="6"/>
  <c r="W89" i="6"/>
  <c r="T89" i="6"/>
  <c r="U89" i="6"/>
  <c r="U124" i="6"/>
  <c r="X124" i="6"/>
  <c r="W124" i="6"/>
  <c r="V124" i="6"/>
  <c r="T124" i="6"/>
  <c r="R32" i="6"/>
  <c r="Q32" i="6"/>
  <c r="P32" i="6"/>
  <c r="AA12" i="6"/>
  <c r="Q12" i="6"/>
  <c r="P12" i="6"/>
  <c r="X119" i="6"/>
  <c r="W119" i="6"/>
  <c r="T119" i="6"/>
  <c r="V119" i="6"/>
  <c r="U119" i="6"/>
  <c r="Q128" i="6"/>
  <c r="P128" i="6"/>
  <c r="Q124" i="6"/>
  <c r="P124" i="6"/>
  <c r="AL86" i="6"/>
  <c r="O18" i="6"/>
  <c r="S18" i="6" s="1"/>
  <c r="AB109" i="6"/>
  <c r="AE109" i="6" s="1"/>
  <c r="AA109" i="6"/>
  <c r="AD109" i="6" s="1"/>
  <c r="AC109" i="6"/>
  <c r="AF109" i="6" s="1"/>
  <c r="AJ26" i="6"/>
  <c r="AJ102" i="6"/>
  <c r="O20" i="6"/>
  <c r="S20" i="6" s="1"/>
  <c r="AA68" i="6"/>
  <c r="AD68" i="6" s="1"/>
  <c r="AB68" i="6"/>
  <c r="AE68" i="6" s="1"/>
  <c r="AC68" i="6"/>
  <c r="AF68" i="6" s="1"/>
  <c r="AC12" i="6"/>
  <c r="U98" i="6"/>
  <c r="W98" i="6"/>
  <c r="V98" i="6"/>
  <c r="T98" i="6"/>
  <c r="X98" i="6"/>
  <c r="Q30" i="6"/>
  <c r="P30" i="6"/>
  <c r="AA30" i="6"/>
  <c r="AC30" i="6"/>
  <c r="AB30" i="6"/>
  <c r="AL37" i="6"/>
  <c r="AJ121" i="6"/>
  <c r="O29" i="6"/>
  <c r="S29" i="6" s="1"/>
  <c r="AC26" i="6"/>
  <c r="AA26" i="6"/>
  <c r="AB26" i="6"/>
  <c r="X47" i="6"/>
  <c r="T47" i="6"/>
  <c r="W47" i="6"/>
  <c r="U47" i="6"/>
  <c r="V47" i="6"/>
  <c r="O91" i="6"/>
  <c r="S91" i="6" s="1"/>
  <c r="AA87" i="6"/>
  <c r="AD87" i="6" s="1"/>
  <c r="AC87" i="6"/>
  <c r="AF87" i="6" s="1"/>
  <c r="AB87" i="6"/>
  <c r="AE87" i="6" s="1"/>
  <c r="AC22" i="6"/>
  <c r="AB22" i="6"/>
  <c r="AA22" i="6"/>
  <c r="Q22" i="6"/>
  <c r="P22" i="6"/>
  <c r="Q92" i="6"/>
  <c r="P92" i="6"/>
  <c r="U107" i="6"/>
  <c r="T107" i="6"/>
  <c r="X107" i="6"/>
  <c r="W107" i="6"/>
  <c r="V107" i="6"/>
  <c r="R114" i="6"/>
  <c r="AL17" i="6"/>
  <c r="AJ107" i="6"/>
  <c r="AC23" i="6"/>
  <c r="AB23" i="6"/>
  <c r="Q23" i="6"/>
  <c r="P23" i="6"/>
  <c r="AA23" i="6"/>
  <c r="AB41" i="6"/>
  <c r="AA41" i="6"/>
  <c r="AC41" i="6"/>
  <c r="Q120" i="6"/>
  <c r="P120" i="6"/>
  <c r="V94" i="6"/>
  <c r="T94" i="6"/>
  <c r="X94" i="6"/>
  <c r="W94" i="6"/>
  <c r="U94" i="6"/>
  <c r="Q70" i="6"/>
  <c r="P70" i="6"/>
  <c r="P112" i="6"/>
  <c r="Q112" i="6"/>
  <c r="W108" i="6"/>
  <c r="U108" i="6"/>
  <c r="X108" i="6"/>
  <c r="V108" i="6"/>
  <c r="T108" i="6"/>
  <c r="AL32" i="6"/>
  <c r="Q73" i="6"/>
  <c r="P73" i="6"/>
  <c r="AL71" i="6"/>
  <c r="AL68" i="6"/>
  <c r="R89" i="6"/>
  <c r="AC24" i="6"/>
  <c r="AF24" i="6" s="1"/>
  <c r="AB24" i="6"/>
  <c r="AE24" i="6" s="1"/>
  <c r="AA24" i="6"/>
  <c r="AD24" i="6" s="1"/>
  <c r="P24" i="6"/>
  <c r="Q24" i="6"/>
  <c r="U69" i="6"/>
  <c r="T69" i="6"/>
  <c r="X69" i="6"/>
  <c r="W69" i="6"/>
  <c r="V69" i="6"/>
  <c r="AL127" i="6"/>
  <c r="AL92" i="6"/>
  <c r="AA127" i="6"/>
  <c r="AD127" i="6" s="1"/>
  <c r="AC127" i="6"/>
  <c r="AF127" i="6" s="1"/>
  <c r="AB127" i="6"/>
  <c r="AE127" i="6" s="1"/>
  <c r="X123" i="6"/>
  <c r="V123" i="6"/>
  <c r="W123" i="6"/>
  <c r="U123" i="6"/>
  <c r="T123" i="6"/>
  <c r="AC126" i="6"/>
  <c r="AA126" i="6"/>
  <c r="AB126" i="6"/>
  <c r="AL84" i="6"/>
  <c r="R39" i="6"/>
  <c r="AJ80" i="6"/>
  <c r="Q87" i="6"/>
  <c r="P87" i="6"/>
  <c r="Q93" i="6"/>
  <c r="P93" i="6"/>
  <c r="Q109" i="6"/>
  <c r="P109" i="6"/>
  <c r="V8" i="6"/>
  <c r="U8" i="6"/>
  <c r="T8" i="6"/>
  <c r="X8" i="6"/>
  <c r="W8" i="6"/>
  <c r="X45" i="6"/>
  <c r="U45" i="6"/>
  <c r="T45" i="6"/>
  <c r="W45" i="6"/>
  <c r="V45" i="6"/>
  <c r="AL97" i="6"/>
  <c r="X42" i="6"/>
  <c r="W42" i="6"/>
  <c r="T42" i="6"/>
  <c r="V42" i="6"/>
  <c r="U42" i="6"/>
  <c r="X86" i="6"/>
  <c r="W86" i="6"/>
  <c r="V86" i="6"/>
  <c r="U86" i="6"/>
  <c r="T86" i="6"/>
  <c r="U40" i="6"/>
  <c r="T40" i="6"/>
  <c r="X40" i="6"/>
  <c r="V40" i="6"/>
  <c r="W40" i="6"/>
  <c r="O11" i="6"/>
  <c r="S11" i="6" s="1"/>
  <c r="O24" i="6"/>
  <c r="S24" i="6" s="1"/>
  <c r="O106" i="6"/>
  <c r="S106" i="6" s="1"/>
  <c r="AA119" i="6"/>
  <c r="AC119" i="6"/>
  <c r="AB119" i="6"/>
  <c r="P25" i="6"/>
  <c r="Q25" i="6"/>
  <c r="Q81" i="6"/>
  <c r="P81" i="6"/>
  <c r="X99" i="6"/>
  <c r="W99" i="6"/>
  <c r="V99" i="6"/>
  <c r="U99" i="6"/>
  <c r="T99" i="6"/>
  <c r="AL29" i="6"/>
  <c r="AJ37" i="6"/>
  <c r="S95" i="6" l="1"/>
  <c r="D24" i="4"/>
  <c r="Y114" i="6"/>
  <c r="Z114" i="6" s="1"/>
  <c r="AG96" i="6"/>
  <c r="R128" i="6"/>
  <c r="Y128" i="6" s="1"/>
  <c r="Z128" i="6" s="1"/>
  <c r="R34" i="6"/>
  <c r="Y34" i="6" s="1"/>
  <c r="Z34" i="6" s="1"/>
  <c r="R13" i="6"/>
  <c r="Y13" i="6" s="1"/>
  <c r="Z13" i="6" s="1"/>
  <c r="R115" i="6"/>
  <c r="Y115" i="6" s="1"/>
  <c r="Z115" i="6" s="1"/>
  <c r="R116" i="6"/>
  <c r="Y116" i="6" s="1"/>
  <c r="Z116" i="6" s="1"/>
  <c r="R86" i="6"/>
  <c r="Y86" i="6" s="1"/>
  <c r="Z86" i="6" s="1"/>
  <c r="AG76" i="6"/>
  <c r="R33" i="6"/>
  <c r="Y33" i="6" s="1"/>
  <c r="Z33" i="6" s="1"/>
  <c r="S74" i="6"/>
  <c r="Y74" i="6" s="1"/>
  <c r="Z74" i="6" s="1"/>
  <c r="R40" i="6"/>
  <c r="S94" i="6"/>
  <c r="Y94" i="6" s="1"/>
  <c r="Z94" i="6" s="1"/>
  <c r="AG10" i="6"/>
  <c r="R104" i="6"/>
  <c r="Y104" i="6" s="1"/>
  <c r="Z104" i="6" s="1"/>
  <c r="R81" i="6"/>
  <c r="Y81" i="6" s="1"/>
  <c r="Z81" i="6" s="1"/>
  <c r="AH81" i="6" s="1"/>
  <c r="AK81" i="6" s="1"/>
  <c r="AM81" i="6" s="1"/>
  <c r="D35" i="7" s="1"/>
  <c r="S119" i="6"/>
  <c r="Y119" i="6" s="1"/>
  <c r="Z119" i="6" s="1"/>
  <c r="S96" i="6"/>
  <c r="Y96" i="6" s="1"/>
  <c r="Z96" i="6" s="1"/>
  <c r="S117" i="6"/>
  <c r="Y117" i="6" s="1"/>
  <c r="Z117" i="6" s="1"/>
  <c r="AG74" i="6"/>
  <c r="R76" i="6"/>
  <c r="S112" i="6"/>
  <c r="Y112" i="6" s="1"/>
  <c r="Z112" i="6" s="1"/>
  <c r="AG20" i="6"/>
  <c r="R36" i="6"/>
  <c r="Y36" i="6" s="1"/>
  <c r="Z36" i="6" s="1"/>
  <c r="R126" i="6"/>
  <c r="Y126" i="6" s="1"/>
  <c r="Z126" i="6" s="1"/>
  <c r="R98" i="6"/>
  <c r="Y98" i="6" s="1"/>
  <c r="Z98" i="6" s="1"/>
  <c r="R120" i="6"/>
  <c r="Y120" i="6" s="1"/>
  <c r="Z120" i="6" s="1"/>
  <c r="R8" i="6"/>
  <c r="Y8" i="6" s="1"/>
  <c r="Z8" i="6" s="1"/>
  <c r="S72" i="6"/>
  <c r="Y72" i="6" s="1"/>
  <c r="Z72" i="6" s="1"/>
  <c r="R73" i="6"/>
  <c r="Y73" i="6" s="1"/>
  <c r="Z73" i="6" s="1"/>
  <c r="I24" i="4"/>
  <c r="D18" i="5" s="1"/>
  <c r="R75" i="6"/>
  <c r="Y75" i="6" s="1"/>
  <c r="Z75" i="6" s="1"/>
  <c r="AG113" i="6"/>
  <c r="AG110" i="6"/>
  <c r="AG98" i="6"/>
  <c r="AG85" i="6"/>
  <c r="AG115" i="6"/>
  <c r="AG80" i="6"/>
  <c r="AG86" i="6"/>
  <c r="AA19" i="6"/>
  <c r="AD19" i="6" s="1"/>
  <c r="AG5" i="6"/>
  <c r="AG108" i="6"/>
  <c r="AG97" i="6"/>
  <c r="R124" i="6"/>
  <c r="Y124" i="6" s="1"/>
  <c r="Z124" i="6" s="1"/>
  <c r="R90" i="6"/>
  <c r="Y90" i="6" s="1"/>
  <c r="Z90" i="6" s="1"/>
  <c r="R15" i="6"/>
  <c r="Y15" i="6" s="1"/>
  <c r="Z15" i="6" s="1"/>
  <c r="R122" i="6"/>
  <c r="Y122" i="6" s="1"/>
  <c r="Z122" i="6" s="1"/>
  <c r="R88" i="6"/>
  <c r="Y88" i="6" s="1"/>
  <c r="Z88" i="6" s="1"/>
  <c r="R23" i="6"/>
  <c r="Y23" i="6" s="1"/>
  <c r="Z23" i="6" s="1"/>
  <c r="S92" i="6"/>
  <c r="Y92" i="6" s="1"/>
  <c r="Z92" i="6" s="1"/>
  <c r="AG99" i="6"/>
  <c r="R125" i="6"/>
  <c r="R30" i="6"/>
  <c r="Y30" i="6" s="1"/>
  <c r="Z30" i="6" s="1"/>
  <c r="AG21" i="6"/>
  <c r="R7" i="6"/>
  <c r="Y7" i="6" s="1"/>
  <c r="Z7" i="6" s="1"/>
  <c r="S77" i="6"/>
  <c r="Y77" i="6" s="1"/>
  <c r="Z77" i="6" s="1"/>
  <c r="R91" i="6"/>
  <c r="Y91" i="6" s="1"/>
  <c r="Z91" i="6" s="1"/>
  <c r="AG105" i="6"/>
  <c r="Y76" i="6"/>
  <c r="Z76" i="6" s="1"/>
  <c r="AH76" i="6" s="1"/>
  <c r="AK76" i="6" s="1"/>
  <c r="AM76" i="6" s="1"/>
  <c r="C33" i="7" s="1"/>
  <c r="S16" i="6"/>
  <c r="Y16" i="6" s="1"/>
  <c r="Z16" i="6" s="1"/>
  <c r="R93" i="6"/>
  <c r="Y93" i="6" s="1"/>
  <c r="Z93" i="6" s="1"/>
  <c r="AG94" i="6"/>
  <c r="R69" i="6"/>
  <c r="Y69" i="6" s="1"/>
  <c r="Z69" i="6" s="1"/>
  <c r="AG116" i="6"/>
  <c r="R108" i="6"/>
  <c r="Y108" i="6" s="1"/>
  <c r="Z108" i="6" s="1"/>
  <c r="R127" i="6"/>
  <c r="Y127" i="6" s="1"/>
  <c r="Z127" i="6" s="1"/>
  <c r="R80" i="6"/>
  <c r="Y80" i="6" s="1"/>
  <c r="Z80" i="6" s="1"/>
  <c r="R22" i="6"/>
  <c r="Y22" i="6" s="1"/>
  <c r="Z22" i="6" s="1"/>
  <c r="F24" i="4"/>
  <c r="F26" i="4" s="1"/>
  <c r="Y31" i="6"/>
  <c r="Z31" i="6" s="1"/>
  <c r="H24" i="4"/>
  <c r="H26" i="4" s="1"/>
  <c r="R121" i="6"/>
  <c r="Y121" i="6" s="1"/>
  <c r="Z121" i="6" s="1"/>
  <c r="E24" i="4"/>
  <c r="E25" i="4" s="1"/>
  <c r="D7" i="8" s="1"/>
  <c r="D11" i="8" s="1"/>
  <c r="S100" i="6"/>
  <c r="Y100" i="6" s="1"/>
  <c r="Z100" i="6" s="1"/>
  <c r="R107" i="6"/>
  <c r="Y107" i="6" s="1"/>
  <c r="Z107" i="6" s="1"/>
  <c r="R101" i="6"/>
  <c r="Y101" i="6" s="1"/>
  <c r="Z101" i="6" s="1"/>
  <c r="R41" i="6"/>
  <c r="Y41" i="6" s="1"/>
  <c r="Z41" i="6" s="1"/>
  <c r="R79" i="6"/>
  <c r="Y79" i="6" s="1"/>
  <c r="Z79" i="6" s="1"/>
  <c r="R111" i="6"/>
  <c r="Y111" i="6" s="1"/>
  <c r="Z111" i="6" s="1"/>
  <c r="S105" i="6"/>
  <c r="Y105" i="6" s="1"/>
  <c r="Z105" i="6" s="1"/>
  <c r="S78" i="6"/>
  <c r="Y78" i="6" s="1"/>
  <c r="Z78" i="6" s="1"/>
  <c r="R123" i="6"/>
  <c r="Y123" i="6" s="1"/>
  <c r="Z123" i="6" s="1"/>
  <c r="AG11" i="6"/>
  <c r="S102" i="6"/>
  <c r="Y102" i="6" s="1"/>
  <c r="Z102" i="6" s="1"/>
  <c r="R97" i="6"/>
  <c r="Y97" i="6" s="1"/>
  <c r="Z97" i="6" s="1"/>
  <c r="R38" i="6"/>
  <c r="Y38" i="6" s="1"/>
  <c r="Z38" i="6" s="1"/>
  <c r="R9" i="6"/>
  <c r="Y9" i="6" s="1"/>
  <c r="Z9" i="6" s="1"/>
  <c r="D26" i="4"/>
  <c r="Y103" i="6"/>
  <c r="Z103" i="6" s="1"/>
  <c r="R25" i="6"/>
  <c r="Y25" i="6" s="1"/>
  <c r="Z25" i="6" s="1"/>
  <c r="R118" i="6"/>
  <c r="Y118" i="6" s="1"/>
  <c r="Z118" i="6" s="1"/>
  <c r="AG88" i="6"/>
  <c r="AA16" i="6"/>
  <c r="AD16" i="6" s="1"/>
  <c r="AB16" i="6"/>
  <c r="AE16" i="6" s="1"/>
  <c r="AG117" i="6"/>
  <c r="AG9" i="6"/>
  <c r="AB18" i="6"/>
  <c r="AG83" i="6"/>
  <c r="AA18" i="6"/>
  <c r="AG123" i="6"/>
  <c r="R68" i="6"/>
  <c r="Y68" i="6" s="1"/>
  <c r="Z68" i="6" s="1"/>
  <c r="Y5" i="6"/>
  <c r="Z5" i="6" s="1"/>
  <c r="AC15" i="6"/>
  <c r="AF15" i="6" s="1"/>
  <c r="AA15" i="6"/>
  <c r="AD15" i="6" s="1"/>
  <c r="S99" i="6"/>
  <c r="Y99" i="6" s="1"/>
  <c r="Z99" i="6" s="1"/>
  <c r="AC19" i="6"/>
  <c r="AF19" i="6" s="1"/>
  <c r="R82" i="6"/>
  <c r="Y82" i="6" s="1"/>
  <c r="Z82" i="6" s="1"/>
  <c r="AG77" i="6"/>
  <c r="Y95" i="6"/>
  <c r="Z95" i="6" s="1"/>
  <c r="R113" i="6"/>
  <c r="Y113" i="6" s="1"/>
  <c r="Z113" i="6" s="1"/>
  <c r="R71" i="6"/>
  <c r="Y71" i="6" s="1"/>
  <c r="Z71" i="6" s="1"/>
  <c r="R27" i="6"/>
  <c r="Y27" i="6" s="1"/>
  <c r="Z27" i="6" s="1"/>
  <c r="AG68" i="6"/>
  <c r="R70" i="6"/>
  <c r="Y70" i="6" s="1"/>
  <c r="Z70" i="6" s="1"/>
  <c r="R6" i="6"/>
  <c r="Y6" i="6" s="1"/>
  <c r="Z6" i="6" s="1"/>
  <c r="R109" i="6"/>
  <c r="Y109" i="6" s="1"/>
  <c r="Z109" i="6" s="1"/>
  <c r="Y32" i="6"/>
  <c r="Z32" i="6" s="1"/>
  <c r="Y40" i="6"/>
  <c r="Z40" i="6" s="1"/>
  <c r="R83" i="6"/>
  <c r="Y83" i="6" s="1"/>
  <c r="Z83" i="6" s="1"/>
  <c r="R37" i="6"/>
  <c r="Y37" i="6" s="1"/>
  <c r="Z37" i="6" s="1"/>
  <c r="R29" i="6"/>
  <c r="Y29" i="6" s="1"/>
  <c r="Z29" i="6" s="1"/>
  <c r="AG103" i="6"/>
  <c r="R42" i="6"/>
  <c r="Y42" i="6" s="1"/>
  <c r="Z42" i="6" s="1"/>
  <c r="S35" i="6"/>
  <c r="Y35" i="6" s="1"/>
  <c r="Z35" i="6" s="1"/>
  <c r="R28" i="6"/>
  <c r="Y28" i="6" s="1"/>
  <c r="Z28" i="6" s="1"/>
  <c r="AG91" i="6"/>
  <c r="AG102" i="6"/>
  <c r="Y39" i="6"/>
  <c r="Z39" i="6" s="1"/>
  <c r="AG72" i="6"/>
  <c r="R110" i="6"/>
  <c r="Y110" i="6" s="1"/>
  <c r="Z110" i="6" s="1"/>
  <c r="AG109" i="6"/>
  <c r="Y10" i="6"/>
  <c r="Z10" i="6" s="1"/>
  <c r="AG111" i="6"/>
  <c r="AG73" i="6"/>
  <c r="AG71" i="6"/>
  <c r="AG114" i="6"/>
  <c r="AG107" i="6"/>
  <c r="Y89" i="6"/>
  <c r="Z89" i="6" s="1"/>
  <c r="AG70" i="6"/>
  <c r="AG75" i="6"/>
  <c r="R106" i="6"/>
  <c r="Y106" i="6" s="1"/>
  <c r="Z106" i="6" s="1"/>
  <c r="AG90" i="6"/>
  <c r="AG93" i="6"/>
  <c r="R24" i="6"/>
  <c r="Y24" i="6" s="1"/>
  <c r="Z24" i="6" s="1"/>
  <c r="R11" i="6"/>
  <c r="Y11" i="6" s="1"/>
  <c r="Z11" i="6" s="1"/>
  <c r="R19" i="6"/>
  <c r="Y19" i="6" s="1"/>
  <c r="Z19" i="6" s="1"/>
  <c r="R12" i="6"/>
  <c r="Y12" i="6" s="1"/>
  <c r="Z12" i="6" s="1"/>
  <c r="AG87" i="6"/>
  <c r="AG95" i="6"/>
  <c r="AG104" i="6"/>
  <c r="S84" i="6"/>
  <c r="R84" i="6"/>
  <c r="AG100" i="6"/>
  <c r="AG112" i="6"/>
  <c r="R21" i="6"/>
  <c r="Y21" i="6" s="1"/>
  <c r="Z21" i="6" s="1"/>
  <c r="AG106" i="6"/>
  <c r="R14" i="6"/>
  <c r="Y14" i="6" s="1"/>
  <c r="Z14" i="6" s="1"/>
  <c r="G24" i="4"/>
  <c r="G25" i="4" s="1"/>
  <c r="R85" i="6"/>
  <c r="Y85" i="6" s="1"/>
  <c r="Z85" i="6" s="1"/>
  <c r="R18" i="6"/>
  <c r="Y18" i="6" s="1"/>
  <c r="Z18" i="6" s="1"/>
  <c r="R20" i="6"/>
  <c r="Y20" i="6" s="1"/>
  <c r="Z20" i="6" s="1"/>
  <c r="R17" i="6"/>
  <c r="Y17" i="6" s="1"/>
  <c r="Z17" i="6" s="1"/>
  <c r="AG78" i="6"/>
  <c r="R87" i="6"/>
  <c r="Y87" i="6" s="1"/>
  <c r="Z87" i="6" s="1"/>
  <c r="AG69" i="6"/>
  <c r="AG101" i="6"/>
  <c r="R26" i="6"/>
  <c r="Y26" i="6" s="1"/>
  <c r="Z26" i="6" s="1"/>
  <c r="AG82" i="6"/>
  <c r="AG89" i="6"/>
  <c r="AG92" i="6"/>
  <c r="AG6" i="6"/>
  <c r="AG24" i="6"/>
  <c r="AG79" i="6"/>
  <c r="AG127" i="6"/>
  <c r="AG14" i="6"/>
  <c r="AG84" i="6"/>
  <c r="AG128" i="6"/>
  <c r="AH114" i="6" l="1"/>
  <c r="AK114" i="6" s="1"/>
  <c r="AM114" i="6" s="1"/>
  <c r="C52" i="7" s="1"/>
  <c r="AH96" i="6"/>
  <c r="AK96" i="6" s="1"/>
  <c r="AM96" i="6" s="1"/>
  <c r="C43" i="7" s="1"/>
  <c r="AH10" i="6"/>
  <c r="AK10" i="6" s="1"/>
  <c r="AM10" i="6" s="1"/>
  <c r="C20" i="1" s="1"/>
  <c r="AH99" i="6"/>
  <c r="AK99" i="6" s="1"/>
  <c r="AM99" i="6" s="1"/>
  <c r="D44" i="7" s="1"/>
  <c r="AH74" i="6"/>
  <c r="AK74" i="6" s="1"/>
  <c r="AM74" i="6" s="1"/>
  <c r="C32" i="7" s="1"/>
  <c r="AH20" i="6"/>
  <c r="AK20" i="6" s="1"/>
  <c r="AM20" i="6" s="1"/>
  <c r="E57" i="7" s="1"/>
  <c r="AH5" i="6"/>
  <c r="AK5" i="6" s="1"/>
  <c r="AM5" i="6" s="1"/>
  <c r="AH113" i="6"/>
  <c r="AK113" i="6" s="1"/>
  <c r="AM113" i="6" s="1"/>
  <c r="D51" i="7" s="1"/>
  <c r="AH83" i="6"/>
  <c r="AK83" i="6" s="1"/>
  <c r="AM83" i="6" s="1"/>
  <c r="D36" i="7" s="1"/>
  <c r="AG15" i="6"/>
  <c r="AH15" i="6" s="1"/>
  <c r="AK15" i="6" s="1"/>
  <c r="AM15" i="6" s="1"/>
  <c r="I26" i="4"/>
  <c r="D51" i="5" s="1"/>
  <c r="F18" i="5"/>
  <c r="I25" i="4"/>
  <c r="C16" i="1"/>
  <c r="H18" i="5"/>
  <c r="AH86" i="6"/>
  <c r="AK86" i="6" s="1"/>
  <c r="AM86" i="6" s="1"/>
  <c r="C38" i="7" s="1"/>
  <c r="AH85" i="6"/>
  <c r="AK85" i="6" s="1"/>
  <c r="AM85" i="6" s="1"/>
  <c r="D37" i="7" s="1"/>
  <c r="AH98" i="6"/>
  <c r="AK98" i="6" s="1"/>
  <c r="AM98" i="6" s="1"/>
  <c r="C44" i="7" s="1"/>
  <c r="AH110" i="6"/>
  <c r="AK110" i="6" s="1"/>
  <c r="AM110" i="6" s="1"/>
  <c r="C50" i="7" s="1"/>
  <c r="AH123" i="6"/>
  <c r="AK123" i="6" s="1"/>
  <c r="Y84" i="6"/>
  <c r="Z84" i="6" s="1"/>
  <c r="AH84" i="6" s="1"/>
  <c r="AK84" i="6" s="1"/>
  <c r="AM84" i="6" s="1"/>
  <c r="C37" i="7" s="1"/>
  <c r="AH115" i="6"/>
  <c r="AK115" i="6" s="1"/>
  <c r="AM115" i="6" s="1"/>
  <c r="D52" i="7" s="1"/>
  <c r="AH108" i="6"/>
  <c r="AK108" i="6" s="1"/>
  <c r="AM108" i="6" s="1"/>
  <c r="C49" i="7" s="1"/>
  <c r="AH97" i="6"/>
  <c r="AK97" i="6" s="1"/>
  <c r="AM97" i="6" s="1"/>
  <c r="D43" i="7" s="1"/>
  <c r="G18" i="5"/>
  <c r="AG19" i="6"/>
  <c r="AH19" i="6" s="1"/>
  <c r="AK19" i="6" s="1"/>
  <c r="AH116" i="6"/>
  <c r="AK116" i="6" s="1"/>
  <c r="AM116" i="6" s="1"/>
  <c r="C53" i="7" s="1"/>
  <c r="AH80" i="6"/>
  <c r="AK80" i="6" s="1"/>
  <c r="AM80" i="6" s="1"/>
  <c r="C35" i="7" s="1"/>
  <c r="AH88" i="6"/>
  <c r="AK88" i="6" s="1"/>
  <c r="AM88" i="6" s="1"/>
  <c r="C39" i="7" s="1"/>
  <c r="E18" i="5"/>
  <c r="AH94" i="6"/>
  <c r="AK94" i="6" s="1"/>
  <c r="AM94" i="6" s="1"/>
  <c r="C42" i="7" s="1"/>
  <c r="F25" i="4"/>
  <c r="AH102" i="6"/>
  <c r="AK102" i="6" s="1"/>
  <c r="AM102" i="6" s="1"/>
  <c r="C46" i="7" s="1"/>
  <c r="AH105" i="6"/>
  <c r="AK105" i="6" s="1"/>
  <c r="AM105" i="6" s="1"/>
  <c r="D47" i="7" s="1"/>
  <c r="AH21" i="6"/>
  <c r="AK21" i="6" s="1"/>
  <c r="AM21" i="6" s="1"/>
  <c r="E21" i="1" s="1"/>
  <c r="AH117" i="6"/>
  <c r="AK117" i="6" s="1"/>
  <c r="AM117" i="6" s="1"/>
  <c r="D53" i="7" s="1"/>
  <c r="AH9" i="6"/>
  <c r="AK9" i="6" s="1"/>
  <c r="H25" i="4"/>
  <c r="E19" i="5" s="1"/>
  <c r="C17" i="1"/>
  <c r="AH68" i="6"/>
  <c r="AK68" i="6" s="1"/>
  <c r="AM68" i="6" s="1"/>
  <c r="C29" i="7" s="1"/>
  <c r="AH92" i="6"/>
  <c r="AK92" i="6" s="1"/>
  <c r="AM92" i="6" s="1"/>
  <c r="C41" i="7" s="1"/>
  <c r="AH127" i="6"/>
  <c r="AK127" i="6" s="1"/>
  <c r="AM127" i="6" s="1"/>
  <c r="D23" i="8" s="1"/>
  <c r="E26" i="4"/>
  <c r="D6" i="8"/>
  <c r="AH6" i="6"/>
  <c r="AK6" i="6" s="1"/>
  <c r="AM6" i="6" s="1"/>
  <c r="AH93" i="6"/>
  <c r="AK93" i="6" s="1"/>
  <c r="AM93" i="6" s="1"/>
  <c r="D41" i="7" s="1"/>
  <c r="AH72" i="6"/>
  <c r="AK72" i="6" s="1"/>
  <c r="AM72" i="6" s="1"/>
  <c r="C31" i="7" s="1"/>
  <c r="AH77" i="6"/>
  <c r="AK77" i="6" s="1"/>
  <c r="AM77" i="6" s="1"/>
  <c r="D33" i="7" s="1"/>
  <c r="AH78" i="6"/>
  <c r="AK78" i="6" s="1"/>
  <c r="AM78" i="6" s="1"/>
  <c r="C34" i="7" s="1"/>
  <c r="AH107" i="6"/>
  <c r="AK107" i="6" s="1"/>
  <c r="AM107" i="6" s="1"/>
  <c r="D48" i="7" s="1"/>
  <c r="AH90" i="6"/>
  <c r="AK90" i="6" s="1"/>
  <c r="AM90" i="6" s="1"/>
  <c r="C40" i="7" s="1"/>
  <c r="AH128" i="6"/>
  <c r="AK128" i="6" s="1"/>
  <c r="AM128" i="6" s="1"/>
  <c r="D24" i="8" s="1"/>
  <c r="D25" i="4"/>
  <c r="AH11" i="6"/>
  <c r="AK11" i="6" s="1"/>
  <c r="AM11" i="6" s="1"/>
  <c r="C58" i="7" s="1"/>
  <c r="AH103" i="6"/>
  <c r="AK103" i="6" s="1"/>
  <c r="AM103" i="6" s="1"/>
  <c r="D46" i="7" s="1"/>
  <c r="AH91" i="6"/>
  <c r="AK91" i="6" s="1"/>
  <c r="AM91" i="6" s="1"/>
  <c r="D40" i="7" s="1"/>
  <c r="AG16" i="6"/>
  <c r="AH16" i="6" s="1"/>
  <c r="AK16" i="6" s="1"/>
  <c r="AM16" i="6" s="1"/>
  <c r="D58" i="7" s="1"/>
  <c r="AH109" i="6"/>
  <c r="AK109" i="6" s="1"/>
  <c r="AM109" i="6" s="1"/>
  <c r="D49" i="7" s="1"/>
  <c r="AH89" i="6"/>
  <c r="AK89" i="6" s="1"/>
  <c r="AM89" i="6" s="1"/>
  <c r="D39" i="7" s="1"/>
  <c r="AH71" i="6"/>
  <c r="AK71" i="6" s="1"/>
  <c r="AM71" i="6" s="1"/>
  <c r="D30" i="7" s="1"/>
  <c r="AH73" i="6"/>
  <c r="AK73" i="6" s="1"/>
  <c r="AM73" i="6" s="1"/>
  <c r="D31" i="7" s="1"/>
  <c r="AH75" i="6"/>
  <c r="AK75" i="6" s="1"/>
  <c r="AM75" i="6" s="1"/>
  <c r="D32" i="7" s="1"/>
  <c r="AH100" i="6"/>
  <c r="AK100" i="6" s="1"/>
  <c r="AM100" i="6" s="1"/>
  <c r="C45" i="7" s="1"/>
  <c r="G26" i="4"/>
  <c r="AH82" i="6"/>
  <c r="AK82" i="6" s="1"/>
  <c r="AM82" i="6" s="1"/>
  <c r="C36" i="7" s="1"/>
  <c r="AH69" i="6"/>
  <c r="AK69" i="6" s="1"/>
  <c r="AM69" i="6" s="1"/>
  <c r="D29" i="7" s="1"/>
  <c r="AH79" i="6"/>
  <c r="AK79" i="6" s="1"/>
  <c r="AM79" i="6" s="1"/>
  <c r="D34" i="7" s="1"/>
  <c r="AH70" i="6"/>
  <c r="AK70" i="6" s="1"/>
  <c r="AM70" i="6" s="1"/>
  <c r="C30" i="7" s="1"/>
  <c r="AH112" i="6"/>
  <c r="AK112" i="6" s="1"/>
  <c r="AM112" i="6" s="1"/>
  <c r="C51" i="7" s="1"/>
  <c r="AH95" i="6"/>
  <c r="AK95" i="6" s="1"/>
  <c r="AM95" i="6" s="1"/>
  <c r="D42" i="7" s="1"/>
  <c r="AH111" i="6"/>
  <c r="AK111" i="6" s="1"/>
  <c r="AM111" i="6" s="1"/>
  <c r="D50" i="7" s="1"/>
  <c r="AH14" i="6"/>
  <c r="AK14" i="6" s="1"/>
  <c r="AH106" i="6"/>
  <c r="AK106" i="6" s="1"/>
  <c r="AM106" i="6" s="1"/>
  <c r="C48" i="7" s="1"/>
  <c r="D14" i="8"/>
  <c r="D15" i="8"/>
  <c r="AH101" i="6"/>
  <c r="AK101" i="6" s="1"/>
  <c r="AM101" i="6" s="1"/>
  <c r="D45" i="7" s="1"/>
  <c r="AH87" i="6"/>
  <c r="AK87" i="6" s="1"/>
  <c r="AM87" i="6" s="1"/>
  <c r="D38" i="7" s="1"/>
  <c r="C10" i="9"/>
  <c r="E10" i="9" s="1"/>
  <c r="AH104" i="6"/>
  <c r="AK104" i="6" s="1"/>
  <c r="AM104" i="6" s="1"/>
  <c r="C47" i="7" s="1"/>
  <c r="AH24" i="6"/>
  <c r="AK24" i="6" s="1"/>
  <c r="H19" i="5"/>
  <c r="H27" i="5" s="1"/>
  <c r="H30" i="5" s="1"/>
  <c r="F19" i="5"/>
  <c r="D19" i="5"/>
  <c r="C57" i="7" l="1"/>
  <c r="E20" i="1"/>
  <c r="E58" i="7"/>
  <c r="G19" i="5"/>
  <c r="D21" i="1"/>
  <c r="C21" i="1"/>
  <c r="C24" i="9"/>
  <c r="E24" i="9" s="1"/>
  <c r="D39" i="5"/>
  <c r="E27" i="5"/>
  <c r="E30" i="5" s="1"/>
  <c r="D38" i="5"/>
  <c r="D37" i="5"/>
  <c r="D27" i="5"/>
  <c r="D30" i="5" s="1"/>
  <c r="D57" i="7"/>
  <c r="D20" i="1"/>
  <c r="D43" i="5" l="1"/>
  <c r="N123" i="6" s="1"/>
  <c r="AL123" i="6" s="1"/>
  <c r="AM123" i="6" s="1"/>
  <c r="C16" i="9" s="1"/>
  <c r="E16" i="9" s="1"/>
  <c r="D41" i="5"/>
  <c r="D45" i="5"/>
  <c r="D32" i="5"/>
  <c r="M121" i="6"/>
  <c r="D46" i="5"/>
  <c r="D44" i="5"/>
  <c r="E32" i="5"/>
  <c r="E33" i="5" s="1"/>
  <c r="D22" i="8" s="1"/>
  <c r="D47" i="5"/>
  <c r="D40" i="5"/>
  <c r="M122" i="6"/>
  <c r="M120" i="6"/>
  <c r="C15" i="9" l="1"/>
  <c r="E15" i="9" s="1"/>
  <c r="M119" i="6"/>
  <c r="M65" i="6"/>
  <c r="M124" i="6"/>
  <c r="M64" i="6"/>
  <c r="M57" i="6"/>
  <c r="M41" i="6"/>
  <c r="M66" i="6"/>
  <c r="M67" i="6"/>
  <c r="M56" i="6"/>
  <c r="M8" i="6"/>
  <c r="D49" i="5"/>
  <c r="M47" i="6"/>
  <c r="M46" i="6"/>
  <c r="M45" i="6"/>
  <c r="M44" i="6"/>
  <c r="M43" i="6"/>
  <c r="M42" i="6"/>
  <c r="M40" i="6"/>
  <c r="M30" i="6"/>
  <c r="M22" i="6"/>
  <c r="M48" i="6"/>
  <c r="M39" i="6"/>
  <c r="M63" i="6"/>
  <c r="M38" i="6"/>
  <c r="M118" i="6"/>
  <c r="M32" i="6"/>
  <c r="M31" i="6"/>
  <c r="M58" i="6"/>
  <c r="M33" i="6"/>
  <c r="M12" i="6"/>
  <c r="M34" i="6"/>
  <c r="M53" i="6"/>
  <c r="M35" i="6"/>
  <c r="M36" i="6"/>
  <c r="M52" i="6"/>
  <c r="M61" i="6"/>
  <c r="M26" i="6"/>
  <c r="M13" i="6"/>
  <c r="C10" i="1"/>
  <c r="M29" i="6"/>
  <c r="M23" i="6"/>
  <c r="D53" i="5"/>
  <c r="M60" i="6"/>
  <c r="M55" i="6"/>
  <c r="M51" i="6"/>
  <c r="M18" i="6"/>
  <c r="M62" i="6"/>
  <c r="M125" i="6"/>
  <c r="G16" i="5"/>
  <c r="F16" i="5"/>
  <c r="M59" i="6"/>
  <c r="M28" i="6"/>
  <c r="M49" i="6"/>
  <c r="M54" i="6"/>
  <c r="M37" i="6"/>
  <c r="M7" i="6"/>
  <c r="M27" i="6"/>
  <c r="M25" i="6"/>
  <c r="M17" i="6"/>
  <c r="M50" i="6"/>
  <c r="N14" i="6"/>
  <c r="AL14" i="6" s="1"/>
  <c r="AM14" i="6" s="1"/>
  <c r="N19" i="6"/>
  <c r="AL19" i="6" s="1"/>
  <c r="AM19" i="6" s="1"/>
  <c r="H17" i="5"/>
  <c r="H31" i="5" s="1"/>
  <c r="N24" i="6"/>
  <c r="AL24" i="6" s="1"/>
  <c r="AM24" i="6" s="1"/>
  <c r="N9" i="6"/>
  <c r="AL9" i="6" s="1"/>
  <c r="AM9" i="6" s="1"/>
  <c r="AD120" i="6"/>
  <c r="AE120" i="6"/>
  <c r="AF120" i="6"/>
  <c r="AE121" i="6"/>
  <c r="AD121" i="6"/>
  <c r="AF121" i="6"/>
  <c r="D33" i="5"/>
  <c r="D21" i="8" s="1"/>
  <c r="AE122" i="6"/>
  <c r="AD122" i="6"/>
  <c r="AF122" i="6"/>
  <c r="C61" i="7" l="1"/>
  <c r="C24" i="1"/>
  <c r="AE25" i="6"/>
  <c r="AF25" i="6"/>
  <c r="AD25" i="6"/>
  <c r="AD7" i="6"/>
  <c r="AF7" i="6"/>
  <c r="AE7" i="6"/>
  <c r="AE34" i="6"/>
  <c r="AD34" i="6"/>
  <c r="AF34" i="6"/>
  <c r="AE118" i="6"/>
  <c r="AD118" i="6"/>
  <c r="AF118" i="6"/>
  <c r="AF39" i="6"/>
  <c r="AE39" i="6"/>
  <c r="AD39" i="6"/>
  <c r="AD42" i="6"/>
  <c r="AE42" i="6"/>
  <c r="AF42" i="6"/>
  <c r="AE41" i="6"/>
  <c r="AD41" i="6"/>
  <c r="AF41" i="6"/>
  <c r="AE12" i="6"/>
  <c r="AF12" i="6"/>
  <c r="AD12" i="6"/>
  <c r="AE17" i="6"/>
  <c r="AF17" i="6"/>
  <c r="AD17" i="6"/>
  <c r="AD27" i="6"/>
  <c r="AF27" i="6"/>
  <c r="AE27" i="6"/>
  <c r="AE37" i="6"/>
  <c r="AD37" i="6"/>
  <c r="AF37" i="6"/>
  <c r="AF22" i="6"/>
  <c r="AD22" i="6"/>
  <c r="AE22" i="6"/>
  <c r="AE40" i="6"/>
  <c r="AD40" i="6"/>
  <c r="AF40" i="6"/>
  <c r="M126" i="6"/>
  <c r="D50" i="5"/>
  <c r="AD23" i="6"/>
  <c r="AE23" i="6"/>
  <c r="AF23" i="6"/>
  <c r="AD29" i="6"/>
  <c r="AE29" i="6"/>
  <c r="AF29" i="6"/>
  <c r="AG121" i="6"/>
  <c r="AH121" i="6" s="1"/>
  <c r="AK121" i="6" s="1"/>
  <c r="AM121" i="6" s="1"/>
  <c r="C13" i="9" s="1"/>
  <c r="E13" i="9" s="1"/>
  <c r="AE124" i="6"/>
  <c r="AF124" i="6"/>
  <c r="AD124" i="6"/>
  <c r="AF38" i="6"/>
  <c r="AE38" i="6"/>
  <c r="AD38" i="6"/>
  <c r="AF30" i="6"/>
  <c r="AD30" i="6"/>
  <c r="AE30" i="6"/>
  <c r="AG122" i="6"/>
  <c r="AH122" i="6" s="1"/>
  <c r="AK122" i="6" s="1"/>
  <c r="AM122" i="6" s="1"/>
  <c r="C14" i="9" s="1"/>
  <c r="E14" i="9" s="1"/>
  <c r="AG120" i="6"/>
  <c r="AH120" i="6" s="1"/>
  <c r="AK120" i="6" s="1"/>
  <c r="AM120" i="6" s="1"/>
  <c r="C12" i="9" s="1"/>
  <c r="E12" i="9" s="1"/>
  <c r="AF36" i="6"/>
  <c r="AE36" i="6"/>
  <c r="AD36" i="6"/>
  <c r="H32" i="5"/>
  <c r="H33" i="5" s="1"/>
  <c r="AE33" i="6"/>
  <c r="AD33" i="6"/>
  <c r="AF33" i="6"/>
  <c r="AE32" i="6"/>
  <c r="AD32" i="6"/>
  <c r="AF32" i="6"/>
  <c r="G25" i="5"/>
  <c r="G24" i="5"/>
  <c r="G23" i="5"/>
  <c r="AE8" i="6"/>
  <c r="AD8" i="6"/>
  <c r="AF8" i="6"/>
  <c r="AD13" i="6"/>
  <c r="AF13" i="6"/>
  <c r="AE13" i="6"/>
  <c r="AF26" i="6"/>
  <c r="AE26" i="6"/>
  <c r="AD26" i="6"/>
  <c r="AF35" i="6"/>
  <c r="AD35" i="6"/>
  <c r="AE35" i="6"/>
  <c r="AD119" i="6"/>
  <c r="AE119" i="6"/>
  <c r="AF119" i="6"/>
  <c r="D61" i="7"/>
  <c r="D24" i="1"/>
  <c r="AE31" i="6"/>
  <c r="AD31" i="6"/>
  <c r="AF31" i="6"/>
  <c r="AE28" i="6"/>
  <c r="AF28" i="6"/>
  <c r="AD28" i="6"/>
  <c r="F25" i="5"/>
  <c r="F24" i="5"/>
  <c r="F23" i="5"/>
  <c r="AF125" i="6"/>
  <c r="AE125" i="6"/>
  <c r="AD125" i="6"/>
  <c r="AE18" i="6"/>
  <c r="AF18" i="6"/>
  <c r="AD18" i="6"/>
  <c r="E24" i="1"/>
  <c r="E61" i="7"/>
  <c r="AG12" i="6" l="1"/>
  <c r="AH12" i="6" s="1"/>
  <c r="AK12" i="6" s="1"/>
  <c r="AM12" i="6" s="1"/>
  <c r="C59" i="7" s="1"/>
  <c r="AG124" i="6"/>
  <c r="AH124" i="6" s="1"/>
  <c r="AG39" i="6"/>
  <c r="AH39" i="6" s="1"/>
  <c r="AK39" i="6" s="1"/>
  <c r="AM39" i="6" s="1"/>
  <c r="E12" i="7" s="1"/>
  <c r="AG26" i="6"/>
  <c r="AH26" i="6" s="1"/>
  <c r="AK26" i="6" s="1"/>
  <c r="AM26" i="6" s="1"/>
  <c r="F5" i="7" s="1"/>
  <c r="AG125" i="6"/>
  <c r="AG36" i="6"/>
  <c r="AH36" i="6" s="1"/>
  <c r="AK36" i="6" s="1"/>
  <c r="AM36" i="6" s="1"/>
  <c r="F10" i="7" s="1"/>
  <c r="AG17" i="6"/>
  <c r="AH17" i="6" s="1"/>
  <c r="AK17" i="6" s="1"/>
  <c r="AM17" i="6" s="1"/>
  <c r="D59" i="7" s="1"/>
  <c r="F26" i="5"/>
  <c r="F27" i="5" s="1"/>
  <c r="F30" i="5" s="1"/>
  <c r="F32" i="5" s="1"/>
  <c r="F33" i="5" s="1"/>
  <c r="AG18" i="6"/>
  <c r="AH18" i="6" s="1"/>
  <c r="AK18" i="6" s="1"/>
  <c r="AM18" i="6" s="1"/>
  <c r="D23" i="1" s="1"/>
  <c r="AG25" i="6"/>
  <c r="AH25" i="6" s="1"/>
  <c r="AK25" i="6" s="1"/>
  <c r="AM25" i="6" s="1"/>
  <c r="E5" i="7" s="1"/>
  <c r="AG118" i="6"/>
  <c r="AH118" i="6" s="1"/>
  <c r="AK118" i="6" s="1"/>
  <c r="AM118" i="6" s="1"/>
  <c r="AG38" i="6"/>
  <c r="AH38" i="6" s="1"/>
  <c r="AK38" i="6" s="1"/>
  <c r="AM38" i="6" s="1"/>
  <c r="F11" i="7" s="1"/>
  <c r="D54" i="5"/>
  <c r="D126" i="6" s="1"/>
  <c r="AJ126" i="6" s="1"/>
  <c r="AG7" i="6"/>
  <c r="AH7" i="6" s="1"/>
  <c r="AK7" i="6" s="1"/>
  <c r="AM7" i="6" s="1"/>
  <c r="AG23" i="6"/>
  <c r="AH23" i="6" s="1"/>
  <c r="AK23" i="6" s="1"/>
  <c r="AM23" i="6" s="1"/>
  <c r="AG31" i="6"/>
  <c r="AH31" i="6" s="1"/>
  <c r="AK31" i="6" s="1"/>
  <c r="AM31" i="6" s="1"/>
  <c r="E8" i="7" s="1"/>
  <c r="AG27" i="6"/>
  <c r="AH27" i="6" s="1"/>
  <c r="AK27" i="6" s="1"/>
  <c r="AM27" i="6" s="1"/>
  <c r="E6" i="7" s="1"/>
  <c r="AG35" i="6"/>
  <c r="AH35" i="6" s="1"/>
  <c r="AK35" i="6" s="1"/>
  <c r="AM35" i="6" s="1"/>
  <c r="E10" i="7" s="1"/>
  <c r="AG29" i="6"/>
  <c r="AH29" i="6" s="1"/>
  <c r="AK29" i="6" s="1"/>
  <c r="AM29" i="6" s="1"/>
  <c r="E7" i="7" s="1"/>
  <c r="AG8" i="6"/>
  <c r="AH8" i="6" s="1"/>
  <c r="AK8" i="6" s="1"/>
  <c r="AM8" i="6" s="1"/>
  <c r="AG33" i="6"/>
  <c r="AH33" i="6" s="1"/>
  <c r="AK33" i="6" s="1"/>
  <c r="AM33" i="6" s="1"/>
  <c r="E9" i="7" s="1"/>
  <c r="G26" i="5"/>
  <c r="G27" i="5" s="1"/>
  <c r="AD126" i="6"/>
  <c r="AF126" i="6"/>
  <c r="AE126" i="6"/>
  <c r="AG32" i="6"/>
  <c r="AH32" i="6" s="1"/>
  <c r="AK32" i="6" s="1"/>
  <c r="AM32" i="6" s="1"/>
  <c r="F8" i="7" s="1"/>
  <c r="AG30" i="6"/>
  <c r="AH30" i="6" s="1"/>
  <c r="AK30" i="6" s="1"/>
  <c r="AM30" i="6" s="1"/>
  <c r="F7" i="7" s="1"/>
  <c r="AG119" i="6"/>
  <c r="AH119" i="6" s="1"/>
  <c r="AK119" i="6" s="1"/>
  <c r="AM119" i="6" s="1"/>
  <c r="AG41" i="6"/>
  <c r="AH41" i="6" s="1"/>
  <c r="AK41" i="6" s="1"/>
  <c r="AM41" i="6" s="1"/>
  <c r="E13" i="7" s="1"/>
  <c r="AG13" i="6"/>
  <c r="AH13" i="6" s="1"/>
  <c r="AK13" i="6" s="1"/>
  <c r="AM13" i="6" s="1"/>
  <c r="AG22" i="6"/>
  <c r="AH22" i="6" s="1"/>
  <c r="AK22" i="6" s="1"/>
  <c r="AM22" i="6" s="1"/>
  <c r="AG37" i="6"/>
  <c r="AH37" i="6" s="1"/>
  <c r="AK37" i="6" s="1"/>
  <c r="AM37" i="6" s="1"/>
  <c r="E11" i="7" s="1"/>
  <c r="AG42" i="6"/>
  <c r="AH42" i="6" s="1"/>
  <c r="AK42" i="6" s="1"/>
  <c r="AM42" i="6" s="1"/>
  <c r="F13" i="7" s="1"/>
  <c r="AG34" i="6"/>
  <c r="AH34" i="6" s="1"/>
  <c r="AK34" i="6" s="1"/>
  <c r="AM34" i="6" s="1"/>
  <c r="F9" i="7" s="1"/>
  <c r="AG40" i="6"/>
  <c r="AH40" i="6" s="1"/>
  <c r="AK40" i="6" s="1"/>
  <c r="AM40" i="6" s="1"/>
  <c r="F12" i="7" s="1"/>
  <c r="AG28" i="6"/>
  <c r="AH28" i="6" s="1"/>
  <c r="AK28" i="6" s="1"/>
  <c r="AM28" i="6" s="1"/>
  <c r="F6" i="7" s="1"/>
  <c r="C17" i="9"/>
  <c r="E17" i="9" s="1"/>
  <c r="C22" i="1" l="1"/>
  <c r="D60" i="7"/>
  <c r="D22" i="1"/>
  <c r="AG126" i="6"/>
  <c r="AH126" i="6" s="1"/>
  <c r="AK126" i="6" s="1"/>
  <c r="AM126" i="6" s="1"/>
  <c r="C20" i="9" s="1"/>
  <c r="E20" i="9" s="1"/>
  <c r="E59" i="7"/>
  <c r="E22" i="1"/>
  <c r="C60" i="7"/>
  <c r="C23" i="1"/>
  <c r="D55" i="5"/>
  <c r="D48" i="5"/>
  <c r="G30" i="5"/>
  <c r="G32" i="5" s="1"/>
  <c r="E23" i="1"/>
  <c r="E60" i="7"/>
  <c r="C21" i="9" l="1"/>
  <c r="E21" i="9" s="1"/>
  <c r="G13" i="7"/>
  <c r="H13" i="7" s="1"/>
  <c r="G9" i="7"/>
  <c r="H9" i="7" s="1"/>
  <c r="G5" i="7"/>
  <c r="H5" i="7" s="1"/>
  <c r="G6" i="7"/>
  <c r="H6" i="7" s="1"/>
  <c r="G12" i="7"/>
  <c r="H12" i="7" s="1"/>
  <c r="G8" i="7"/>
  <c r="H8" i="7" s="1"/>
  <c r="G7" i="7"/>
  <c r="H7" i="7" s="1"/>
  <c r="G33" i="5"/>
  <c r="C11" i="1"/>
  <c r="G10" i="7"/>
  <c r="H10" i="7" s="1"/>
  <c r="G11" i="7"/>
  <c r="H11" i="7" s="1"/>
  <c r="C15" i="1"/>
  <c r="I125" i="6"/>
  <c r="Y125" i="6" s="1"/>
  <c r="Z125" i="6" s="1"/>
  <c r="AH125" i="6" s="1"/>
  <c r="AK125" i="6" s="1"/>
  <c r="AM125" i="6" s="1"/>
  <c r="C19" i="9" s="1"/>
  <c r="E19" i="9" s="1"/>
  <c r="C14" i="1"/>
  <c r="D124" i="6"/>
  <c r="AJ124" i="6" s="1"/>
  <c r="AK124" i="6" s="1"/>
  <c r="AM124" i="6" s="1"/>
  <c r="C18" i="9" s="1"/>
  <c r="E18" i="9" s="1"/>
  <c r="C11" i="9"/>
  <c r="E11" i="9" s="1"/>
  <c r="I11" i="7" l="1"/>
  <c r="I10" i="7"/>
  <c r="I7" i="7"/>
  <c r="I6" i="7"/>
  <c r="I12" i="7"/>
  <c r="C15" i="7"/>
  <c r="I5" i="7"/>
  <c r="C16" i="7"/>
  <c r="I9" i="7"/>
  <c r="I8" i="7"/>
  <c r="I13" i="7"/>
  <c r="E19" i="7" l="1"/>
  <c r="D19" i="7"/>
  <c r="D16" i="7"/>
  <c r="G19" i="7"/>
  <c r="F19" i="7"/>
  <c r="C19" i="7"/>
  <c r="G67" i="6"/>
  <c r="E61" i="6"/>
  <c r="J60" i="6"/>
  <c r="B24" i="7"/>
  <c r="D15" i="7"/>
  <c r="B23" i="7"/>
  <c r="B21" i="7"/>
  <c r="D63" i="6"/>
  <c r="I62" i="6"/>
  <c r="I67" i="6"/>
  <c r="K66" i="6"/>
  <c r="H67" i="6"/>
  <c r="J66" i="6"/>
  <c r="F67" i="6"/>
  <c r="I66" i="6"/>
  <c r="F57" i="6"/>
  <c r="K56" i="6"/>
  <c r="D51" i="6"/>
  <c r="I50" i="6"/>
  <c r="G44" i="6"/>
  <c r="B22" i="7"/>
  <c r="D67" i="6"/>
  <c r="G66" i="6"/>
  <c r="J65" i="6"/>
  <c r="I65" i="6"/>
  <c r="H64" i="6"/>
  <c r="G63" i="6"/>
  <c r="E62" i="6"/>
  <c r="D61" i="6"/>
  <c r="D60" i="6"/>
  <c r="F59" i="6"/>
  <c r="I58" i="6"/>
  <c r="C51" i="6"/>
  <c r="AI51" i="6" s="1"/>
  <c r="G50" i="6"/>
  <c r="C43" i="6"/>
  <c r="AI43" i="6" s="1"/>
  <c r="H65" i="6"/>
  <c r="G64" i="6"/>
  <c r="F63" i="6"/>
  <c r="D62" i="6"/>
  <c r="C61" i="6"/>
  <c r="AI61" i="6" s="1"/>
  <c r="C60" i="6"/>
  <c r="AI60" i="6" s="1"/>
  <c r="E59" i="6"/>
  <c r="H58" i="6"/>
  <c r="F50" i="6"/>
  <c r="K49" i="6"/>
  <c r="H66" i="6"/>
  <c r="G65" i="6"/>
  <c r="F64" i="6"/>
  <c r="E63" i="6"/>
  <c r="C62" i="6"/>
  <c r="AI62" i="6" s="1"/>
  <c r="D59" i="6"/>
  <c r="G58" i="6"/>
  <c r="K57" i="6"/>
  <c r="E50" i="6"/>
  <c r="J49" i="6"/>
  <c r="F66" i="6"/>
  <c r="F65" i="6"/>
  <c r="E64" i="6"/>
  <c r="C63" i="6"/>
  <c r="AI63" i="6" s="1"/>
  <c r="C59" i="6"/>
  <c r="AI59" i="6" s="1"/>
  <c r="F58" i="6"/>
  <c r="J57" i="6"/>
  <c r="K67" i="6"/>
  <c r="E66" i="6"/>
  <c r="E65" i="6"/>
  <c r="D64" i="6"/>
  <c r="E58" i="6"/>
  <c r="I57" i="6"/>
  <c r="C50" i="6"/>
  <c r="AI50" i="6" s="1"/>
  <c r="H49" i="6"/>
  <c r="K62" i="6"/>
  <c r="J62" i="6"/>
  <c r="H62" i="6"/>
  <c r="G62" i="6"/>
  <c r="K43" i="6"/>
  <c r="F62" i="6"/>
  <c r="K48" i="6"/>
  <c r="K47" i="6"/>
  <c r="K46" i="6"/>
  <c r="K45" i="6"/>
  <c r="K44" i="6"/>
  <c r="J43" i="6"/>
  <c r="H61" i="6"/>
  <c r="H51" i="6"/>
  <c r="O51" i="6" s="1"/>
  <c r="I44" i="6"/>
  <c r="D43" i="6"/>
  <c r="G61" i="6"/>
  <c r="K52" i="6"/>
  <c r="G51" i="6"/>
  <c r="H44" i="6"/>
  <c r="F61" i="6"/>
  <c r="J52" i="6"/>
  <c r="F51" i="6"/>
  <c r="F44" i="6"/>
  <c r="K58" i="6"/>
  <c r="I52" i="6"/>
  <c r="E51" i="6"/>
  <c r="J45" i="6"/>
  <c r="E44" i="6"/>
  <c r="K65" i="6"/>
  <c r="J58" i="6"/>
  <c r="H52" i="6"/>
  <c r="I45" i="6"/>
  <c r="D44" i="6"/>
  <c r="H60" i="6"/>
  <c r="H56" i="6"/>
  <c r="C55" i="6"/>
  <c r="AI55" i="6" s="1"/>
  <c r="G49" i="6"/>
  <c r="D48" i="6"/>
  <c r="C65" i="6"/>
  <c r="AI65" i="6" s="1"/>
  <c r="J55" i="6"/>
  <c r="J51" i="6"/>
  <c r="J48" i="6"/>
  <c r="C48" i="6"/>
  <c r="AI48" i="6" s="1"/>
  <c r="F45" i="6"/>
  <c r="E45" i="6"/>
  <c r="I55" i="6"/>
  <c r="I51" i="6"/>
  <c r="I48" i="6"/>
  <c r="D55" i="6"/>
  <c r="G45" i="6"/>
  <c r="G52" i="6"/>
  <c r="K63" i="6"/>
  <c r="H55" i="6"/>
  <c r="H48" i="6"/>
  <c r="H63" i="6"/>
  <c r="J63" i="6"/>
  <c r="D58" i="6"/>
  <c r="G55" i="6"/>
  <c r="G48" i="6"/>
  <c r="I63" i="6"/>
  <c r="C58" i="6"/>
  <c r="AI58" i="6" s="1"/>
  <c r="F55" i="6"/>
  <c r="F48" i="6"/>
  <c r="E55" i="6"/>
  <c r="E48" i="6"/>
  <c r="H45" i="6"/>
  <c r="K54" i="6"/>
  <c r="C53" i="6"/>
  <c r="AI53" i="6" s="1"/>
  <c r="K50" i="6"/>
  <c r="H43" i="6"/>
  <c r="J54" i="6"/>
  <c r="J50" i="6"/>
  <c r="H50" i="6"/>
  <c r="I47" i="6"/>
  <c r="D50" i="6"/>
  <c r="J47" i="6"/>
  <c r="G43" i="6"/>
  <c r="I54" i="6"/>
  <c r="F43" i="6"/>
  <c r="H57" i="6"/>
  <c r="O57" i="6" s="1"/>
  <c r="S57" i="6" s="1"/>
  <c r="H54" i="6"/>
  <c r="H47" i="6"/>
  <c r="G53" i="6"/>
  <c r="C44" i="6"/>
  <c r="AI44" i="6" s="1"/>
  <c r="E60" i="6"/>
  <c r="C46" i="6"/>
  <c r="AI46" i="6" s="1"/>
  <c r="G57" i="6"/>
  <c r="F53" i="6"/>
  <c r="J46" i="6"/>
  <c r="E53" i="6"/>
  <c r="I46" i="6"/>
  <c r="F46" i="6"/>
  <c r="J44" i="6"/>
  <c r="D65" i="6"/>
  <c r="K60" i="6"/>
  <c r="K55" i="6"/>
  <c r="D53" i="6"/>
  <c r="K51" i="6"/>
  <c r="H46" i="6"/>
  <c r="F60" i="6"/>
  <c r="D46" i="6"/>
  <c r="I60" i="6"/>
  <c r="G46" i="6"/>
  <c r="G60" i="6"/>
  <c r="E46" i="6"/>
  <c r="C67" i="6"/>
  <c r="AI67" i="6" s="1"/>
  <c r="C64" i="6"/>
  <c r="AI64" i="6" s="1"/>
  <c r="K61" i="6"/>
  <c r="G56" i="6"/>
  <c r="J61" i="6"/>
  <c r="F56" i="6"/>
  <c r="I61" i="6"/>
  <c r="E56" i="6"/>
  <c r="G47" i="6"/>
  <c r="D56" i="6"/>
  <c r="F47" i="6"/>
  <c r="E49" i="6"/>
  <c r="J59" i="6"/>
  <c r="E52" i="6"/>
  <c r="D52" i="6"/>
  <c r="C52" i="6"/>
  <c r="AI52" i="6" s="1"/>
  <c r="D47" i="6"/>
  <c r="J67" i="6"/>
  <c r="J56" i="6"/>
  <c r="D49" i="6"/>
  <c r="D45" i="6"/>
  <c r="I64" i="6"/>
  <c r="G59" i="6"/>
  <c r="B20" i="7"/>
  <c r="C23" i="9" s="1"/>
  <c r="E23" i="9" s="1"/>
  <c r="E47" i="6"/>
  <c r="I56" i="6"/>
  <c r="C49" i="6"/>
  <c r="AI49" i="6" s="1"/>
  <c r="C45" i="6"/>
  <c r="AI45" i="6" s="1"/>
  <c r="J64" i="6"/>
  <c r="F52" i="6"/>
  <c r="H59" i="6"/>
  <c r="C47" i="6"/>
  <c r="AI47" i="6" s="1"/>
  <c r="C56" i="6"/>
  <c r="AI56" i="6" s="1"/>
  <c r="G54" i="6"/>
  <c r="I43" i="6"/>
  <c r="E67" i="6"/>
  <c r="D54" i="6"/>
  <c r="K64" i="6"/>
  <c r="K59" i="6"/>
  <c r="I59" i="6"/>
  <c r="F54" i="6"/>
  <c r="E54" i="6"/>
  <c r="E43" i="6"/>
  <c r="C54" i="6"/>
  <c r="AI54" i="6" s="1"/>
  <c r="D66" i="6"/>
  <c r="C66" i="6"/>
  <c r="AI66" i="6" s="1"/>
  <c r="E57" i="6"/>
  <c r="D57" i="6"/>
  <c r="C57" i="6"/>
  <c r="AI57" i="6" s="1"/>
  <c r="K53" i="6"/>
  <c r="J53" i="6"/>
  <c r="I53" i="6"/>
  <c r="H53" i="6"/>
  <c r="I49" i="6"/>
  <c r="F49" i="6"/>
  <c r="O58" i="6" l="1"/>
  <c r="S58" i="6" s="1"/>
  <c r="S51" i="6"/>
  <c r="O59" i="6"/>
  <c r="S59" i="6" s="1"/>
  <c r="R51" i="6"/>
  <c r="O46" i="6"/>
  <c r="S46" i="6" s="1"/>
  <c r="O53" i="6"/>
  <c r="R53" i="6" s="1"/>
  <c r="O47" i="6"/>
  <c r="S47" i="6" s="1"/>
  <c r="O61" i="6"/>
  <c r="R61" i="6" s="1"/>
  <c r="O50" i="6"/>
  <c r="S50" i="6" s="1"/>
  <c r="AJ48" i="6"/>
  <c r="AL48" i="6"/>
  <c r="AJ47" i="6"/>
  <c r="AL47" i="6"/>
  <c r="AC46" i="6"/>
  <c r="AF46" i="6" s="1"/>
  <c r="AB46" i="6"/>
  <c r="AE46" i="6" s="1"/>
  <c r="AA46" i="6"/>
  <c r="AD46" i="6" s="1"/>
  <c r="Q64" i="6"/>
  <c r="P64" i="6"/>
  <c r="P57" i="6"/>
  <c r="Q57" i="6"/>
  <c r="Q65" i="6"/>
  <c r="P65" i="6"/>
  <c r="Q66" i="6"/>
  <c r="P66" i="6"/>
  <c r="AJ64" i="6"/>
  <c r="AL64" i="6"/>
  <c r="AJ56" i="6"/>
  <c r="AL56" i="6"/>
  <c r="AJ65" i="6"/>
  <c r="AL65" i="6"/>
  <c r="Q62" i="6"/>
  <c r="P62" i="6"/>
  <c r="AJ53" i="6"/>
  <c r="AL53" i="6"/>
  <c r="AJ60" i="6"/>
  <c r="AL60" i="6"/>
  <c r="AJ61" i="6"/>
  <c r="AL61" i="6"/>
  <c r="AB44" i="6"/>
  <c r="AE44" i="6" s="1"/>
  <c r="AC44" i="6"/>
  <c r="AF44" i="6" s="1"/>
  <c r="AA44" i="6"/>
  <c r="AD44" i="6" s="1"/>
  <c r="AJ51" i="6"/>
  <c r="AL51" i="6"/>
  <c r="AC57" i="6"/>
  <c r="AF57" i="6" s="1"/>
  <c r="AB57" i="6"/>
  <c r="AE57" i="6" s="1"/>
  <c r="AA57" i="6"/>
  <c r="AD57" i="6" s="1"/>
  <c r="Q53" i="6"/>
  <c r="P53" i="6"/>
  <c r="Q59" i="6"/>
  <c r="P59" i="6"/>
  <c r="O54" i="6"/>
  <c r="S54" i="6" s="1"/>
  <c r="Q56" i="6"/>
  <c r="P56" i="6"/>
  <c r="AC67" i="6"/>
  <c r="AF67" i="6" s="1"/>
  <c r="AB67" i="6"/>
  <c r="AE67" i="6" s="1"/>
  <c r="AA67" i="6"/>
  <c r="AD67" i="6" s="1"/>
  <c r="R44" i="6"/>
  <c r="O66" i="6"/>
  <c r="S66" i="6" s="1"/>
  <c r="R62" i="6"/>
  <c r="AC55" i="6"/>
  <c r="AF55" i="6" s="1"/>
  <c r="AB55" i="6"/>
  <c r="AE55" i="6" s="1"/>
  <c r="AA55" i="6"/>
  <c r="AD55" i="6" s="1"/>
  <c r="O52" i="6"/>
  <c r="S52" i="6" s="1"/>
  <c r="P55" i="6"/>
  <c r="Q55" i="6"/>
  <c r="AJ58" i="6"/>
  <c r="AL58" i="6"/>
  <c r="AC61" i="6"/>
  <c r="AF61" i="6" s="1"/>
  <c r="AB61" i="6"/>
  <c r="AE61" i="6" s="1"/>
  <c r="AA61" i="6"/>
  <c r="AD61" i="6" s="1"/>
  <c r="AB52" i="6"/>
  <c r="AE52" i="6" s="1"/>
  <c r="AA52" i="6"/>
  <c r="AD52" i="6" s="1"/>
  <c r="AC52" i="6"/>
  <c r="AF52" i="6" s="1"/>
  <c r="R57" i="6"/>
  <c r="O63" i="6"/>
  <c r="S63" i="6" s="1"/>
  <c r="Q44" i="6"/>
  <c r="P44" i="6"/>
  <c r="P43" i="6"/>
  <c r="Q43" i="6"/>
  <c r="AA63" i="6"/>
  <c r="AD63" i="6" s="1"/>
  <c r="AC63" i="6"/>
  <c r="AF63" i="6" s="1"/>
  <c r="AB63" i="6"/>
  <c r="AE63" i="6" s="1"/>
  <c r="Q52" i="6"/>
  <c r="P52" i="6"/>
  <c r="Q60" i="6"/>
  <c r="P60" i="6"/>
  <c r="O45" i="6"/>
  <c r="S45" i="6" s="1"/>
  <c r="O65" i="6"/>
  <c r="S65" i="6" s="1"/>
  <c r="Q46" i="6"/>
  <c r="P46" i="6"/>
  <c r="AC51" i="6"/>
  <c r="AF51" i="6" s="1"/>
  <c r="AA51" i="6"/>
  <c r="AD51" i="6" s="1"/>
  <c r="AB51" i="6"/>
  <c r="AE51" i="6" s="1"/>
  <c r="AJ46" i="6"/>
  <c r="AL46" i="6"/>
  <c r="O48" i="6"/>
  <c r="S48" i="6" s="1"/>
  <c r="Q51" i="6"/>
  <c r="P51" i="6"/>
  <c r="Q58" i="6"/>
  <c r="P58" i="6"/>
  <c r="O43" i="6"/>
  <c r="S43" i="6" s="1"/>
  <c r="O67" i="6"/>
  <c r="S67" i="6" s="1"/>
  <c r="AJ55" i="6"/>
  <c r="AL55" i="6"/>
  <c r="O56" i="6"/>
  <c r="S56" i="6" s="1"/>
  <c r="AC47" i="6"/>
  <c r="AF47" i="6" s="1"/>
  <c r="AB47" i="6"/>
  <c r="AE47" i="6" s="1"/>
  <c r="AA47" i="6"/>
  <c r="AD47" i="6" s="1"/>
  <c r="O60" i="6"/>
  <c r="S60" i="6" s="1"/>
  <c r="AC48" i="6"/>
  <c r="AF48" i="6" s="1"/>
  <c r="AB48" i="6"/>
  <c r="AE48" i="6" s="1"/>
  <c r="AA48" i="6"/>
  <c r="AD48" i="6" s="1"/>
  <c r="Q49" i="6"/>
  <c r="P49" i="6"/>
  <c r="P63" i="6"/>
  <c r="Q63" i="6"/>
  <c r="AJ50" i="6"/>
  <c r="AL50" i="6"/>
  <c r="AC53" i="6"/>
  <c r="AF53" i="6" s="1"/>
  <c r="AB53" i="6"/>
  <c r="AE53" i="6" s="1"/>
  <c r="AA53" i="6"/>
  <c r="AD53" i="6" s="1"/>
  <c r="AJ52" i="6"/>
  <c r="AL52" i="6"/>
  <c r="AA49" i="6"/>
  <c r="AD49" i="6" s="1"/>
  <c r="AC49" i="6"/>
  <c r="AF49" i="6" s="1"/>
  <c r="AB49" i="6"/>
  <c r="AE49" i="6" s="1"/>
  <c r="O55" i="6"/>
  <c r="S55" i="6" s="1"/>
  <c r="AJ59" i="6"/>
  <c r="AL59" i="6"/>
  <c r="AA62" i="6"/>
  <c r="AD62" i="6" s="1"/>
  <c r="AC62" i="6"/>
  <c r="AF62" i="6" s="1"/>
  <c r="AB62" i="6"/>
  <c r="AE62" i="6" s="1"/>
  <c r="Q54" i="6"/>
  <c r="P54" i="6"/>
  <c r="Q45" i="6"/>
  <c r="P45" i="6"/>
  <c r="AJ67" i="6"/>
  <c r="AL67" i="6"/>
  <c r="AJ49" i="6"/>
  <c r="AL49" i="6"/>
  <c r="AC59" i="6"/>
  <c r="AF59" i="6" s="1"/>
  <c r="AB59" i="6"/>
  <c r="AE59" i="6" s="1"/>
  <c r="AA59" i="6"/>
  <c r="AD59" i="6" s="1"/>
  <c r="O62" i="6"/>
  <c r="S62" i="6" s="1"/>
  <c r="O49" i="6"/>
  <c r="S49" i="6" s="1"/>
  <c r="AJ43" i="6"/>
  <c r="AL43" i="6"/>
  <c r="AJ57" i="6"/>
  <c r="AL57" i="6"/>
  <c r="AJ54" i="6"/>
  <c r="AL54" i="6"/>
  <c r="P47" i="6"/>
  <c r="Q47" i="6"/>
  <c r="AJ63" i="6"/>
  <c r="AL63" i="6"/>
  <c r="R63" i="6"/>
  <c r="Y63" i="6" s="1"/>
  <c r="Z63" i="6" s="1"/>
  <c r="AC56" i="6"/>
  <c r="AF56" i="6" s="1"/>
  <c r="AB56" i="6"/>
  <c r="AE56" i="6" s="1"/>
  <c r="AA56" i="6"/>
  <c r="AD56" i="6" s="1"/>
  <c r="AC50" i="6"/>
  <c r="AF50" i="6" s="1"/>
  <c r="AA50" i="6"/>
  <c r="AD50" i="6" s="1"/>
  <c r="AB50" i="6"/>
  <c r="AE50" i="6" s="1"/>
  <c r="AB45" i="6"/>
  <c r="AE45" i="6" s="1"/>
  <c r="AA45" i="6"/>
  <c r="AD45" i="6" s="1"/>
  <c r="AC45" i="6"/>
  <c r="AF45" i="6" s="1"/>
  <c r="AJ62" i="6"/>
  <c r="AL62" i="6"/>
  <c r="P67" i="6"/>
  <c r="Q67" i="6"/>
  <c r="AJ45" i="6"/>
  <c r="AL45" i="6"/>
  <c r="Q50" i="6"/>
  <c r="P50" i="6"/>
  <c r="P48" i="6"/>
  <c r="Q48" i="6"/>
  <c r="AC58" i="6"/>
  <c r="AF58" i="6" s="1"/>
  <c r="AB58" i="6"/>
  <c r="AE58" i="6" s="1"/>
  <c r="AA58" i="6"/>
  <c r="AD58" i="6" s="1"/>
  <c r="AB65" i="6"/>
  <c r="AE65" i="6" s="1"/>
  <c r="AA65" i="6"/>
  <c r="AD65" i="6" s="1"/>
  <c r="AC65" i="6"/>
  <c r="AF65" i="6" s="1"/>
  <c r="AC66" i="6"/>
  <c r="AF66" i="6" s="1"/>
  <c r="AB66" i="6"/>
  <c r="AE66" i="6" s="1"/>
  <c r="AA66" i="6"/>
  <c r="AD66" i="6" s="1"/>
  <c r="AJ66" i="6"/>
  <c r="AL66" i="6"/>
  <c r="AC60" i="6"/>
  <c r="AF60" i="6" s="1"/>
  <c r="AB60" i="6"/>
  <c r="AE60" i="6" s="1"/>
  <c r="AA60" i="6"/>
  <c r="AD60" i="6" s="1"/>
  <c r="AC43" i="6"/>
  <c r="AF43" i="6" s="1"/>
  <c r="AB43" i="6"/>
  <c r="AE43" i="6" s="1"/>
  <c r="AA43" i="6"/>
  <c r="AD43" i="6" s="1"/>
  <c r="AJ44" i="6"/>
  <c r="AL44" i="6"/>
  <c r="Q61" i="6"/>
  <c r="P61" i="6"/>
  <c r="AC54" i="6"/>
  <c r="AF54" i="6" s="1"/>
  <c r="AB54" i="6"/>
  <c r="AE54" i="6" s="1"/>
  <c r="AA54" i="6"/>
  <c r="AD54" i="6" s="1"/>
  <c r="O44" i="6"/>
  <c r="S44" i="6" s="1"/>
  <c r="AB64" i="6"/>
  <c r="AE64" i="6" s="1"/>
  <c r="AA64" i="6"/>
  <c r="AD64" i="6" s="1"/>
  <c r="AC64" i="6"/>
  <c r="AF64" i="6" s="1"/>
  <c r="O64" i="6"/>
  <c r="S64" i="6" s="1"/>
  <c r="R58" i="6" l="1"/>
  <c r="Y58" i="6" s="1"/>
  <c r="Z58" i="6" s="1"/>
  <c r="R59" i="6"/>
  <c r="Y59" i="6" s="1"/>
  <c r="Z59" i="6" s="1"/>
  <c r="AG58" i="6"/>
  <c r="AG55" i="6"/>
  <c r="S53" i="6"/>
  <c r="Y53" i="6" s="1"/>
  <c r="Z53" i="6" s="1"/>
  <c r="R50" i="6"/>
  <c r="Y50" i="6" s="1"/>
  <c r="Z50" i="6" s="1"/>
  <c r="AG53" i="6"/>
  <c r="R46" i="6"/>
  <c r="Y46" i="6" s="1"/>
  <c r="Z46" i="6" s="1"/>
  <c r="S61" i="6"/>
  <c r="Y61" i="6" s="1"/>
  <c r="Z61" i="6" s="1"/>
  <c r="R47" i="6"/>
  <c r="Y47" i="6" s="1"/>
  <c r="Z47" i="6" s="1"/>
  <c r="AG59" i="6"/>
  <c r="AG46" i="6"/>
  <c r="AG47" i="6"/>
  <c r="AG60" i="6"/>
  <c r="AG57" i="6"/>
  <c r="AG44" i="6"/>
  <c r="AG56" i="6"/>
  <c r="AG54" i="6"/>
  <c r="Y57" i="6"/>
  <c r="Z57" i="6" s="1"/>
  <c r="AG61" i="6"/>
  <c r="AG67" i="6"/>
  <c r="R49" i="6"/>
  <c r="Y49" i="6" s="1"/>
  <c r="Z49" i="6" s="1"/>
  <c r="Y62" i="6"/>
  <c r="Z62" i="6" s="1"/>
  <c r="AG65" i="6"/>
  <c r="R52" i="6"/>
  <c r="Y52" i="6" s="1"/>
  <c r="Z52" i="6" s="1"/>
  <c r="R54" i="6"/>
  <c r="Y54" i="6" s="1"/>
  <c r="Z54" i="6" s="1"/>
  <c r="AH54" i="6" s="1"/>
  <c r="AK54" i="6" s="1"/>
  <c r="AM54" i="6" s="1"/>
  <c r="D22" i="7" s="1"/>
  <c r="Y44" i="6"/>
  <c r="Z44" i="6" s="1"/>
  <c r="AH44" i="6" s="1"/>
  <c r="AK44" i="6" s="1"/>
  <c r="AM44" i="6" s="1"/>
  <c r="D20" i="7" s="1"/>
  <c r="R65" i="6"/>
  <c r="Y65" i="6" s="1"/>
  <c r="Z65" i="6" s="1"/>
  <c r="Y51" i="6"/>
  <c r="Z51" i="6" s="1"/>
  <c r="R66" i="6"/>
  <c r="Y66" i="6" s="1"/>
  <c r="Z66" i="6" s="1"/>
  <c r="AG63" i="6"/>
  <c r="AH63" i="6" s="1"/>
  <c r="AK63" i="6" s="1"/>
  <c r="AM63" i="6" s="1"/>
  <c r="C24" i="7" s="1"/>
  <c r="AG52" i="6"/>
  <c r="AG66" i="6"/>
  <c r="R45" i="6"/>
  <c r="Y45" i="6" s="1"/>
  <c r="Z45" i="6" s="1"/>
  <c r="AG64" i="6"/>
  <c r="R60" i="6"/>
  <c r="Y60" i="6" s="1"/>
  <c r="Z60" i="6" s="1"/>
  <c r="R55" i="6"/>
  <c r="Y55" i="6" s="1"/>
  <c r="Z55" i="6" s="1"/>
  <c r="AG62" i="6"/>
  <c r="AG51" i="6"/>
  <c r="R43" i="6"/>
  <c r="Y43" i="6" s="1"/>
  <c r="Z43" i="6" s="1"/>
  <c r="R64" i="6"/>
  <c r="Y64" i="6" s="1"/>
  <c r="Z64" i="6" s="1"/>
  <c r="R48" i="6"/>
  <c r="Y48" i="6" s="1"/>
  <c r="Z48" i="6" s="1"/>
  <c r="R67" i="6"/>
  <c r="Y67" i="6" s="1"/>
  <c r="Z67" i="6" s="1"/>
  <c r="AG50" i="6"/>
  <c r="R56" i="6"/>
  <c r="Y56" i="6" s="1"/>
  <c r="Z56" i="6" s="1"/>
  <c r="AG49" i="6"/>
  <c r="AG43" i="6"/>
  <c r="AG45" i="6"/>
  <c r="AG48" i="6"/>
  <c r="AH58" i="6" l="1"/>
  <c r="AK58" i="6" s="1"/>
  <c r="AM58" i="6" s="1"/>
  <c r="C23" i="7" s="1"/>
  <c r="AH55" i="6"/>
  <c r="AK55" i="6" s="1"/>
  <c r="AM55" i="6" s="1"/>
  <c r="E22" i="7" s="1"/>
  <c r="C22" i="9" s="1"/>
  <c r="E22" i="9" s="1"/>
  <c r="C28" i="9" s="1"/>
  <c r="C26" i="1" s="1"/>
  <c r="AH53" i="6"/>
  <c r="AK53" i="6" s="1"/>
  <c r="AM53" i="6" s="1"/>
  <c r="C22" i="7" s="1"/>
  <c r="AH48" i="6"/>
  <c r="AK48" i="6" s="1"/>
  <c r="AM48" i="6" s="1"/>
  <c r="C21" i="7" s="1"/>
  <c r="AH56" i="6"/>
  <c r="AK56" i="6" s="1"/>
  <c r="AM56" i="6" s="1"/>
  <c r="F22" i="7" s="1"/>
  <c r="AH57" i="6"/>
  <c r="AK57" i="6" s="1"/>
  <c r="AM57" i="6" s="1"/>
  <c r="G22" i="7" s="1"/>
  <c r="AH61" i="6"/>
  <c r="AK61" i="6" s="1"/>
  <c r="AM61" i="6" s="1"/>
  <c r="F23" i="7" s="1"/>
  <c r="AH46" i="6"/>
  <c r="AK46" i="6" s="1"/>
  <c r="AM46" i="6" s="1"/>
  <c r="F20" i="7" s="1"/>
  <c r="AH59" i="6"/>
  <c r="AK59" i="6" s="1"/>
  <c r="AM59" i="6" s="1"/>
  <c r="D23" i="7" s="1"/>
  <c r="AH47" i="6"/>
  <c r="AK47" i="6" s="1"/>
  <c r="AM47" i="6" s="1"/>
  <c r="G20" i="7" s="1"/>
  <c r="AH60" i="6"/>
  <c r="AK60" i="6" s="1"/>
  <c r="AM60" i="6" s="1"/>
  <c r="E23" i="7" s="1"/>
  <c r="AH50" i="6"/>
  <c r="AK50" i="6" s="1"/>
  <c r="AM50" i="6" s="1"/>
  <c r="E21" i="7" s="1"/>
  <c r="AH49" i="6"/>
  <c r="AK49" i="6" s="1"/>
  <c r="AM49" i="6" s="1"/>
  <c r="D21" i="7" s="1"/>
  <c r="AH67" i="6"/>
  <c r="AK67" i="6" s="1"/>
  <c r="AM67" i="6" s="1"/>
  <c r="G24" i="7" s="1"/>
  <c r="AH64" i="6"/>
  <c r="AK64" i="6" s="1"/>
  <c r="AM64" i="6" s="1"/>
  <c r="D24" i="7" s="1"/>
  <c r="AH62" i="6"/>
  <c r="AK62" i="6" s="1"/>
  <c r="AM62" i="6" s="1"/>
  <c r="G23" i="7" s="1"/>
  <c r="AH65" i="6"/>
  <c r="AK65" i="6" s="1"/>
  <c r="AM65" i="6" s="1"/>
  <c r="E24" i="7" s="1"/>
  <c r="AH51" i="6"/>
  <c r="AK51" i="6" s="1"/>
  <c r="AM51" i="6" s="1"/>
  <c r="F21" i="7" s="1"/>
  <c r="AH52" i="6"/>
  <c r="AK52" i="6" s="1"/>
  <c r="AM52" i="6" s="1"/>
  <c r="G21" i="7" s="1"/>
  <c r="AH45" i="6"/>
  <c r="AK45" i="6" s="1"/>
  <c r="AM45" i="6" s="1"/>
  <c r="E20" i="7" s="1"/>
  <c r="AH43" i="6"/>
  <c r="AK43" i="6" s="1"/>
  <c r="AM43" i="6" s="1"/>
  <c r="C20" i="7" s="1"/>
  <c r="AH66" i="6"/>
  <c r="AK66" i="6" s="1"/>
  <c r="AM66" i="6" s="1"/>
  <c r="F24" i="7" s="1"/>
</calcChain>
</file>

<file path=xl/sharedStrings.xml><?xml version="1.0" encoding="utf-8"?>
<sst xmlns="http://schemas.openxmlformats.org/spreadsheetml/2006/main" count="834" uniqueCount="703">
  <si>
    <t>Duolingo · giving every Super subscriber Video Call</t>
  </si>
  <si>
    <t>What the AI calls cost, what that does to gross margin, and what holds Duolingo's 71.0% guidance. Public data only; Duolingo is not involved.</t>
  </si>
  <si>
    <t>Question</t>
  </si>
  <si>
    <t>Duolingo plans to extend Video Call, its AI conversation feature, from Max to every Super subscriber. What does that do to gross margin, and how should it be offered?</t>
  </si>
  <si>
    <t>Recommendation</t>
  </si>
  <si>
    <t>Run Super's calls on the mini real-time model with a monthly allowance, keep the flagship model and unlimited calls for Max (option D).</t>
  </si>
  <si>
    <t>Allowance offered, minutes a month</t>
  </si>
  <si>
    <t>Gross margin under D, base case</t>
  </si>
  <si>
    <t>Target (Duolingo's Q3 2026 guidance)</t>
  </si>
  <si>
    <t>Gross margin before (Q4 2025)</t>
  </si>
  <si>
    <t>D holds the target up to this share of Super subscribers calling</t>
  </si>
  <si>
    <t>… and down to this share of re-read conversation cached</t>
  </si>
  <si>
    <t>Cost of one call: flagship model</t>
  </si>
  <si>
    <t>Cost of one call: mini model</t>
  </si>
  <si>
    <t>Option</t>
  </si>
  <si>
    <t>Bear</t>
  </si>
  <si>
    <t>Base</t>
  </si>
  <si>
    <t>Bull</t>
  </si>
  <si>
    <t>A · Flagship, unlimited</t>
  </si>
  <si>
    <t>B · Mini, unlimited</t>
  </si>
  <si>
    <t>C · Flagship, allowance</t>
  </si>
  <si>
    <t>D · Mini, allowance (recommended)</t>
  </si>
  <si>
    <t>E · Flagship, unlimited, Super price up</t>
  </si>
  <si>
    <t>Checks</t>
  </si>
  <si>
    <t>Sources: Duolingo's 10-K, 10-Q and shareholder letters (SEC EDGAR, accession numbers on Inputs and History); OpenAI's API pricing page and announcements as archived by the Internet Archive (snapshot addresses on Inputs). Blue cells are sourced facts; yellow cells are judgments, each with its reason.</t>
  </si>
  <si>
    <t>Inputs</t>
  </si>
  <si>
    <t>Blue: Duolingo's own filings or OpenAI's archived price lists, with the source. Yellow: judgments, with the reason. Grey: Set, blank at rest; type a value to override a judgment.</t>
  </si>
  <si>
    <t>Facts from Duolingo's filings (SEC EDGAR)</t>
  </si>
  <si>
    <t>Key</t>
  </si>
  <si>
    <t>Item</t>
  </si>
  <si>
    <t>Value</t>
  </si>
  <si>
    <t>Unit</t>
  </si>
  <si>
    <t>Form · accession</t>
  </si>
  <si>
    <t>URL</t>
  </si>
  <si>
    <t>What the filing says</t>
  </si>
  <si>
    <t>rev</t>
  </si>
  <si>
    <t>Revenue, Q2 2026</t>
  </si>
  <si>
    <t>$</t>
  </si>
  <si>
    <t>10-Q · 0001628280-26-053603</t>
  </si>
  <si>
    <t>https://www.sec.gov/Archives/edgar/data/1562088/000162828026053603/duol-20260630.htm</t>
  </si>
  <si>
    <t>XBRL RevenueFromContractWithCustomerExcludingAssessedTax, 1 April to 30 June 2026</t>
  </si>
  <si>
    <t>subRev</t>
  </si>
  <si>
    <t>Subscription revenue, Q2 2026</t>
  </si>
  <si>
    <t>Subscription $ 258,035 $ 210,678</t>
  </si>
  <si>
    <t>paidQ1</t>
  </si>
  <si>
    <t>Paid subscribers at 31 March 2026</t>
  </si>
  <si>
    <t>n</t>
  </si>
  <si>
    <t>10-Q · 0001628280-26-029976</t>
  </si>
  <si>
    <t>https://www.sec.gov/Archives/edgar/data/1562088/000162828026029976/duol-20260331.htm</t>
  </si>
  <si>
    <t>Paid subscribers (at period end) 12.5 10.3</t>
  </si>
  <si>
    <t>paidQ2</t>
  </si>
  <si>
    <t>Paid subscribers at 30 June 2026</t>
  </si>
  <si>
    <t>Paid subscribers (at period end) 12.7 10.9</t>
  </si>
  <si>
    <t>gmQ4</t>
  </si>
  <si>
    <t>Gross margin, Q4 2025 (the last quarter before Super got Video Call)</t>
  </si>
  <si>
    <t>%</t>
  </si>
  <si>
    <t>10-K · 0001628280-26-012494</t>
  </si>
  <si>
    <t>https://www.sec.gov/Archives/edgar/data/1562088/000162828026012494/duol-20251231.htm</t>
  </si>
  <si>
    <t>XBRL: 1 − (cost of revenue ÷ revenue), full year 2025 less nine months; the shareholder letter states 72.8% — Gross margin expanded approximately 90 basis points year over year to 72.8%.</t>
  </si>
  <si>
    <t>revQ125</t>
  </si>
  <si>
    <t>Revenue, Q1 2025</t>
  </si>
  <si>
    <t>10-Q · 0001562088-25-000100</t>
  </si>
  <si>
    <t>https://www.sec.gov/Archives/edgar/data/1562088/000156208825000100/duol-20250331.htm</t>
  </si>
  <si>
    <t>XBRL RevenueFromContractWithCustomerExcludingAssessedTax, 1 January to 31 March 2025</t>
  </si>
  <si>
    <t>gmQ125</t>
  </si>
  <si>
    <t>Gross margin, Q1 2025</t>
  </si>
  <si>
    <t>XBRL: 1 − (cost of revenue ÷ revenue); Total gross margin decreased to 71.1% from 73.0% during the three months ended March 31, 2025 and 2024.</t>
  </si>
  <si>
    <t>gmQ124</t>
  </si>
  <si>
    <t>Gross margin, Q1 2024</t>
  </si>
  <si>
    <t>10-Q · 0001562088-24-000113</t>
  </si>
  <si>
    <t>https://www.sec.gov/Archives/edgar/data/1562088/000156208824000113/duol-20240331.htm</t>
  </si>
  <si>
    <t>XBRL: 1 − (cost of revenue ÷ revenue); Total gross margin increased slightly to 73.0% from 72.8% during the three months ended March 31, 2024 and 2023.</t>
  </si>
  <si>
    <t>paidQ424</t>
  </si>
  <si>
    <t>Paid subscribers at 31 December 2024</t>
  </si>
  <si>
    <t>10-K · 0001562088-25-000042</t>
  </si>
  <si>
    <t>https://www.sec.gov/Archives/edgar/data/1562088/000156208825000042/duol-20241231.htm</t>
  </si>
  <si>
    <t>Paid subscribers (at period end) 9.5 6.6</t>
  </si>
  <si>
    <t>paidQ125</t>
  </si>
  <si>
    <t>Paid subscribers at 31 March 2025</t>
  </si>
  <si>
    <t>Paid subscribers (at period end) 10.3 7.4</t>
  </si>
  <si>
    <t>OpenAI real-time voice models: price list, $ per million tokens (Internet Archive snapshots)</t>
  </si>
  <si>
    <t>Model</t>
  </si>
  <si>
    <t>Audio in</t>
  </si>
  <si>
    <t>Audio cached</t>
  </si>
  <si>
    <t>Audio out</t>
  </si>
  <si>
    <t>Text in</t>
  </si>
  <si>
    <t>Text cached</t>
  </si>
  <si>
    <t>Snapshot</t>
  </si>
  <si>
    <t>Snapshot URL</t>
  </si>
  <si>
    <t>Quoted from the page</t>
  </si>
  <si>
    <t>4o-oct24</t>
  </si>
  <si>
    <t>GPT-4o real-time, October 2024</t>
  </si>
  <si>
    <t>9 January 2025</t>
  </si>
  <si>
    <t>https://web.archive.org/web/20250109100914/https://openai.com/api/pricing/</t>
  </si>
  <si>
    <t>gpt-4o-realtime-preview-2024-10-01 Text $5.00 / 1M input tokens $2.50 / 1M cached** input tokens $20.00 / 1M output tokens Audio* $100.00 / 1M input tokens $20.00 / 1M cached** input tokens $200.00 / 1M output tokens</t>
  </si>
  <si>
    <t>4o-dec24</t>
  </si>
  <si>
    <t>GPT-4o real-time, December 2024</t>
  </si>
  <si>
    <t>gpt-4o-realtime-preview-2024-12-17 Text $5.00 / 1M input tokens $2.50 / 1M cached* input tokens $20.00 / 1M output tokens Audio $40.00 / 1M input tokens $2.50 / 1M cached* input tokens $80.00 / 1M output tokens</t>
  </si>
  <si>
    <t>mini-dec24</t>
  </si>
  <si>
    <t>GPT-4o mini real-time, December 2024</t>
  </si>
  <si>
    <t>gpt-4o-mini-realtime-preview-2024-12-17 Text $0.60 / 1M input tokens $0.30 / 1M cached* input tokens $2.40 / 1M output tokens Audio $10.00 / 1M input tokens $0.30 / 1M cached* input tokens $20.00 / 1M output tokens</t>
  </si>
  <si>
    <t>rt-aug25</t>
  </si>
  <si>
    <t>gpt-realtime, August 2025</t>
  </si>
  <si>
    <t>11 November 2025</t>
  </si>
  <si>
    <t>https://web.archive.org/web/20251111115926/https://openai.com/api/pricing/</t>
  </si>
  <si>
    <t>Text: gpt-realtime $4.00 / 1M input tokens $0.40 / 1M cached input tokens $16.00 / 1M output tokens · Audio: gpt-realtime $32.00 / 1M input tokens $0.40 / 1M cached input tokens $64.00 / 1M output tokens</t>
  </si>
  <si>
    <t>rtmini-nov25</t>
  </si>
  <si>
    <t>gpt-realtime-mini, November 2025 list</t>
  </si>
  <si>
    <t>Text: gpt-realtime-mini $0.60 / 1M input tokens $0.06 / 1M cached input tokens $2.40 / 1M output tokens · Audio: gpt-realtime-mini $10.00 / 1M input tokens $0.30 / 1M cached input tokens $20.00 / 1M output tokens · Same prices on the 1 March 2026 capture (gpt-realtime-mini): https://web.archive.org/web/20260301135109/https://openai.com/api/pricing/ · Same prices on the 9 September 2026 capture (GPT-Realtime-2.1 mini, in the page's embedded data; its visible text lists no real-time model): https://web.archive.org/web/20260909122111/https://openai.com/api/pricing/</t>
  </si>
  <si>
    <t>rt2-jun26</t>
  </si>
  <si>
    <t>GPT-Realtime-2, June 2026 list</t>
  </si>
  <si>
    <t>1 June 2026</t>
  </si>
  <si>
    <t>https://web.archive.org/web/20260601063732/https://openai.com/api/pricing/</t>
  </si>
  <si>
    <t>GPT-Realtime-2 Our most capable model for realtime voice interactions. Price Audio: $32.00 / 1M tokens for inputs $0.40 / 1M tokens for cached inputs $64.00 / 1M tokens for outputs Text: $4.00 / 1M tokens for inputs $0.40 / 1M tokens for cached inputs · Same prices on the 9 September 2026 capture (GPT-Realtime-2.1, in the page's embedded data; its visible text lists no real-time model): https://web.archive.org/web/20260909122111/https://openai.com/api/pricing/</t>
  </si>
  <si>
    <t>Audio tokens per minute, from OpenAI's own per-minute figures (launch post, 1 October 2024)</t>
  </si>
  <si>
    <t>MinIn</t>
  </si>
  <si>
    <t>$ a minute of audio input (as stated)</t>
  </si>
  <si>
    <t>https://web.archive.org/web/20241001215345/https://openai.com/index/introducing-the-realtime-api/</t>
  </si>
  <si>
    <t>Text input tokens are priced at $5 per 1M and $20 per 1M output tokens. Audio input is priced at $100 per 1M tokens and output is $200 per 1M tokens. This equates to approximately $0.06 per minute of audio input and $0.24 per minute of audio output.</t>
  </si>
  <si>
    <t>PIn</t>
  </si>
  <si>
    <t>$ per million audio input tokens (same sentence)</t>
  </si>
  <si>
    <t>MinOut</t>
  </si>
  <si>
    <t>$ a minute of audio output (as stated)</t>
  </si>
  <si>
    <t>POut</t>
  </si>
  <si>
    <t>$ per million audio output tokens (same sentence)</t>
  </si>
  <si>
    <t>TokIn</t>
  </si>
  <si>
    <t>Audio tokens a minute the learner speaks</t>
  </si>
  <si>
    <t>Derived: dollars a minute ÷ dollars per million tokens. A minute of Lily's speech is the same number of tokens when it is read back as part of the conversation.</t>
  </si>
  <si>
    <t>TokOut</t>
  </si>
  <si>
    <t>Audio tokens a minute Lily speaks</t>
  </si>
  <si>
    <t>Plan settings</t>
  </si>
  <si>
    <t>FlagKey</t>
  </si>
  <si>
    <t>Flagship real-time model (price list key)</t>
  </si>
  <si>
    <t>GPT-Realtime-2 on the 1 June 2026 list; the 9 September 2026 capture's embedded page data lists GPT-Realtime-2.1 at the same audio and text input prices.</t>
  </si>
  <si>
    <t>MiniKey</t>
  </si>
  <si>
    <t>Mini real-time model (price list key)</t>
  </si>
  <si>
    <t>gpt-realtime-mini on the 11 November 2025 list; the 1 March 2026 capture lists it at the same prices, and the 9 September 2026 capture lists GPT-Realtime-2.1 mini at the same prices</t>
  </si>
  <si>
    <t>HistKey</t>
  </si>
  <si>
    <t>Model priced for the Q1 2025 check</t>
  </si>
  <si>
    <t>The GPT-4o real-time list in force in Q1 2025 (from 17 December 2024).</t>
  </si>
  <si>
    <t>Target</t>
  </si>
  <si>
    <t>Gross margin to hold</t>
  </si>
  <si>
    <t>https://www.sec.gov/Archives/edgar/data/1562088/000162828026053299/q2fy26duolingo6-30x26share.htm</t>
  </si>
  <si>
    <t>Duolingo's own guidance for Q3 2026, the quarter in which it plans to extend Video Call to existing Super subscribers: "We expect a gross margin of approximately 71.0% in Q3 and approximately 71.6% for the full year, better than the trajectory we outlined on our Q1 call based on AI cost trends." (8-K 0001628280-26-053299)</t>
  </si>
  <si>
    <t>CapStep</t>
  </si>
  <si>
    <t>Allowance step (minutes)</t>
  </si>
  <si>
    <t>The monthly allowance is offered in whole steps of five minutes.</t>
  </si>
  <si>
    <t>NoCap</t>
  </si>
  <si>
    <t>No allowance (minutes, a number no caller reaches)</t>
  </si>
  <si>
    <t>Stands for unlimited calls.</t>
  </si>
  <si>
    <t>IdxFlag</t>
  </si>
  <si>
    <t>Row of FlagKey in the price list</t>
  </si>
  <si>
    <t>IdxMini</t>
  </si>
  <si>
    <t>Row of MiniKey in the price list</t>
  </si>
  <si>
    <t>IdxHist</t>
  </si>
  <si>
    <t>Row of HistKey in the price list</t>
  </si>
  <si>
    <t>Judgments: what the filings and price lists do not say</t>
  </si>
  <si>
    <t>Judgment</t>
  </si>
  <si>
    <t>Low</t>
  </si>
  <si>
    <t>High</t>
  </si>
  <si>
    <t>Set</t>
  </si>
  <si>
    <t>Live</t>
  </si>
  <si>
    <t>Why this value</t>
  </si>
  <si>
    <t>maxShare</t>
  </si>
  <si>
    <t>Max subscribers as a share of paid subscribers</t>
  </si>
  <si>
    <t>Duolingo does not report Max subscribers. Moving Video Call from Max into Super gives it "to about ten times as many learners" (8-K 0001628280-26-012246), so Max is about one paid subscriber in ten; the range allows for "about".</t>
  </si>
  <si>
    <t>adoptSuper</t>
  </si>
  <si>
    <t>Super subscribers who make at least one call a month</t>
  </si>
  <si>
    <t>Not disclosed. Max subscribers pay for Video Call and would use it more; a Super subscriber gets it as one feature among many, so the base is below half and the range is wide.</t>
  </si>
  <si>
    <t>adoptMax</t>
  </si>
  <si>
    <t>Max subscribers who make at least one call a month</t>
  </si>
  <si>
    <t>Not disclosed. Video Call is the feature Max is sold on ("its flagship feature, Video Call", Q1 2025 letter), so most Max subscribers use it. Used only to check the model against Q1 2025.</t>
  </si>
  <si>
    <t>callsScale</t>
  </si>
  <si>
    <t>Calls a month, against the usage tiers</t>
  </si>
  <si>
    <t>x</t>
  </si>
  <si>
    <t>Scales all three tiers' calls together; the tiers are a judgment (below).</t>
  </si>
  <si>
    <t>L</t>
  </si>
  <si>
    <t>Length of a call</t>
  </si>
  <si>
    <t>min</t>
  </si>
  <si>
    <t>Not disclosed. A short conversation with Lily at a learner's level; Duolingo says it plans "longer sessions for learners who can handle them" (Q2 2025 letter), so today's calls are short.</t>
  </si>
  <si>
    <t>s</t>
  </si>
  <si>
    <t>Share of a call the learner is speaking</t>
  </si>
  <si>
    <t>Lily asks and models answers; learners answer in short sentences, so they speak less than half the time.</t>
  </si>
  <si>
    <t>r</t>
  </si>
  <si>
    <t>Lily's replies a minute</t>
  </si>
  <si>
    <t>About one exchange every 20 seconds. Each reply makes the model read the conversation so far again, so this sets how often the call's history is billed.</t>
  </si>
  <si>
    <t>c</t>
  </si>
  <si>
    <t>Share of re-read conversation billed at the cached price</t>
  </si>
  <si>
    <t>The part of the call already read once can be served from OpenAI's prompt cache at the cached price; how much hits depends on the engineering, so the range is wide.</t>
  </si>
  <si>
    <t>sysTok</t>
  </si>
  <si>
    <t>Instruction text tokens read with each reply</t>
  </si>
  <si>
    <t>Lily's character, the learner's course and level, and the call's goal, sent as text with each reply.</t>
  </si>
  <si>
    <t>realization</t>
  </si>
  <si>
    <t>Price Duolingo pays, as a share of list</t>
  </si>
  <si>
    <t>Duolingo's contract price is not public and a buyer of its size may pay less than list; the base uses list, the range goes down to 60%.</t>
  </si>
  <si>
    <t>headroom</t>
  </si>
  <si>
    <t>Headroom kept above the target when the allowance is set</t>
  </si>
  <si>
    <t>pts</t>
  </si>
  <si>
    <t>The allowance is set to clear the 71.0% target by a quarter of a point in the base case: a plan that only just meets the guidance misses it the first month usage runs above the base case.</t>
  </si>
  <si>
    <t>usage2025</t>
  </si>
  <si>
    <t>Q1 2025 usage per caller, against 2026</t>
  </si>
  <si>
    <t>"Over the last year, we've more than doubled the average number of words spoken per user in Video Call" (Q1 2026 letter, 0001628280-26-029790): a year earlier a caller spoke at most half as much. Used only to check the model against Q1 2025.</t>
  </si>
  <si>
    <t>Usage tiers among Super subscribers who call (judgment)</t>
  </si>
  <si>
    <t>Tier</t>
  </si>
  <si>
    <t>Share of callers</t>
  </si>
  <si>
    <t>Calls a month</t>
  </si>
  <si>
    <t>Why</t>
  </si>
  <si>
    <t>light</t>
  </si>
  <si>
    <t>Light callers</t>
  </si>
  <si>
    <t>Half of those who call at all try it once or twice a month.</t>
  </si>
  <si>
    <t>regular</t>
  </si>
  <si>
    <t>Regular callers</t>
  </si>
  <si>
    <t>About one call a week, more in a busy week.</t>
  </si>
  <si>
    <t>heavy</t>
  </si>
  <si>
    <t>Heavy callers</t>
  </si>
  <si>
    <t>Learners practising speaking most days; a long tail like this is usual for a usage feature.</t>
  </si>
  <si>
    <t>Scenarios: three usage drivers move together</t>
  </si>
  <si>
    <t>Driver</t>
  </si>
  <si>
    <t>Bear: Super subscribers take to Video Call as Max subscribers do and call more often, and less of the conversation hits the cache. Bull: the opposite. The other drivers stay at base.</t>
  </si>
  <si>
    <t>Duolingo by quarter, as filed</t>
  </si>
  <si>
    <t>Revenue and cost of revenue from the XBRL facts (Q4 = full year less nine months); subscription revenue and paid subscribers from each filing's tables; the margin each filing states and why.</t>
  </si>
  <si>
    <t>Quarter</t>
  </si>
  <si>
    <t>Revenue</t>
  </si>
  <si>
    <t>Cost of revenue</t>
  </si>
  <si>
    <t>Gross margin</t>
  </si>
  <si>
    <t>Stated</t>
  </si>
  <si>
    <t>Difference</t>
  </si>
  <si>
    <t>Subscription revenue</t>
  </si>
  <si>
    <t>Paid subscribers, end</t>
  </si>
  <si>
    <t>Average paid</t>
  </si>
  <si>
    <t>Revenue per paid subscriber a month</t>
  </si>
  <si>
    <t>Year on year</t>
  </si>
  <si>
    <t>What the filing says about the margin</t>
  </si>
  <si>
    <t>Q4 2023</t>
  </si>
  <si>
    <t>Paid subscribers at the end of 2023, from the FY2024 10-K's comparative column.</t>
  </si>
  <si>
    <t>Q1 2024</t>
  </si>
  <si>
    <t>Total gross margin increased slightly to 73.0% from 72.8% during the three months ended March 31, 2024 and 2023. This was primarily due to higher subscription gross margin contribution from an increase in subscriber revenue as a percentage of total revenue, partially offset by a decline in Advertising margins, which was due to decreases in average revenue per DAU and increased amortization of capitalized software.</t>
  </si>
  <si>
    <t>Q2 2024</t>
  </si>
  <si>
    <t>10-Q · 0001562088-24-000207</t>
  </si>
  <si>
    <t>Total gross margin was 73.4% during both the three months ended June 30, 2024 and 2023. This was primarily due to higher subscription gross margin contribution from an increase in subscriber revenue as a percentage of total revenue, offset by a decline in Advertising margins, which was due to decreases in average revenue per DAU.</t>
  </si>
  <si>
    <t>Q3 2024</t>
  </si>
  <si>
    <t>10-Q · 0001562088-24-000250</t>
  </si>
  <si>
    <t>Total gross margin was 72.9% during the three months ended September 30, 2024, a decrease from 73.7% in the three months ended September 30, 2023. This was due to a combination of lower margins in Other revenue offset by an increase in Subscription revenue as a percentage of total revenue.</t>
  </si>
  <si>
    <t>Q4 2024</t>
  </si>
  <si>
    <t>In Q4, gross margin decreased by approximately 120 basis points year over year to 71.9% due to lower subscription margins from increased generative AI costs due to the increased adoption of Duolingo Max, and lower advertising gross margin during the period from lower advertising revenue per DAU.</t>
  </si>
  <si>
    <t>Q1 2025</t>
  </si>
  <si>
    <t>Total gross margin decreased to 71.1% from 73.0% during the three months ended March 31, 2025 and 2024. This was mainly due to lower subscription gross margin as a result of increased generative AI costs year over year related to expansion of the Duolingo Max subscription tier.</t>
  </si>
  <si>
    <t>Q2 2025</t>
  </si>
  <si>
    <t>10-Q · 0001562088-25-000168</t>
  </si>
  <si>
    <t>Total gross margin decreased to 72.4% from 73.4% during the three months ended June 30, 2025 and 2024, and to 71.8% from 73.2% during the six months ended June 30, 2025 and 2024. The decrease in both periods was primarily due to lower subscription gross margin, driven by increased generative AI costs year over year related to the expansion of the Duolingo Max subscription tier.</t>
  </si>
  <si>
    <t>Q3 2025</t>
  </si>
  <si>
    <t>10-Q · 0001628280-25-049743</t>
  </si>
  <si>
    <t>Total gross margin decreased to 72.5% from 72.9% during the three months ended September 30, 2025 and 2024, respectively, primarily due to decreases in subscription and advertising gross margins related to an increase in generative AI costs associated with expansion of our Duolingo Max subscription tier and increased hosting costs.</t>
  </si>
  <si>
    <t>Q4 2025</t>
  </si>
  <si>
    <t>Gross margin expanded approximately 90 basis points year over year to 72.8%.</t>
  </si>
  <si>
    <t>Q1 2026</t>
  </si>
  <si>
    <t>Total gross margin increased to 73.0% from 71.1% during the three months ended March 31, 2026 and 2025. The increase was primarily attributable to an increase in subscription gross margin, reflecting continued reductions in per-unit AI costs and improved efficiency across our features, including Video Call, partially offset by higher hosting costs.</t>
  </si>
  <si>
    <t>Q2 2026</t>
  </si>
  <si>
    <t>Total gross margin increased to 72.6% from 72.4% during the three months ended June 30, 2026 and 2025, and total gross margin increased to 72.8% from 71.8% during the six months ended June 30, 2026 and 2025. The increase was primarily attributable to an increase in subscription gross margin, reflecting continued reductions in per-unit third-party AI costs.</t>
  </si>
  <si>
    <t>Revenue per paid subscriber: the growth Duolingo states, against the ratio above</t>
  </si>
  <si>
    <t>Computed</t>
  </si>
  <si>
    <t>The letter's words</t>
  </si>
  <si>
    <t>8-K · 0001562088-25-000165</t>
  </si>
  <si>
    <t>ARPU, grew 6% year over year</t>
  </si>
  <si>
    <t>8-K · 0001628280-25-049514</t>
  </si>
  <si>
    <t>drove a 7% year-over-year increase in subscription revenue per average paid subscriber</t>
  </si>
  <si>
    <t>What one Video Call costs, on each archived price list</t>
  </si>
  <si>
    <t>One call of the live length with the live drivers (Inputs). Each of Lily's replies reads the new learner audio, writes her reply and reads the conversation so far again.</t>
  </si>
  <si>
    <t>Price list key</t>
  </si>
  <si>
    <t>Row in the price list</t>
  </si>
  <si>
    <t>Lily's replies in the call</t>
  </si>
  <si>
    <t>New learner audio (tokens, full input price)</t>
  </si>
  <si>
    <t>Lily's audio (tokens, output price)</t>
  </si>
  <si>
    <t>Conversation re-read (tokens, summed over the replies)</t>
  </si>
  <si>
    <t>Instruction text (tokens, summed over the replies)</t>
  </si>
  <si>
    <t>Audio in, $ per million</t>
  </si>
  <si>
    <t>Audio cached, $ per million</t>
  </si>
  <si>
    <t>Audio out, $ per million</t>
  </si>
  <si>
    <t>Text in, $ per million</t>
  </si>
  <si>
    <t>Text cached, $ per million</t>
  </si>
  <si>
    <t>Cost: new learner audio</t>
  </si>
  <si>
    <t>Cost: Lily's audio</t>
  </si>
  <si>
    <t>Cost: re-reading the conversation</t>
  </si>
  <si>
    <t>Cost: instructions</t>
  </si>
  <si>
    <t>Cost of one call</t>
  </si>
  <si>
    <t>Cost a minute</t>
  </si>
  <si>
    <t>Share of the cost from re-reading</t>
  </si>
  <si>
    <t>The decision: give every Super subscriber Video Call</t>
  </si>
  <si>
    <t>Duolingo's Q2 2026 run-rate, the margin before the change (Q4 2025), five ways to do it, and what holds the target.</t>
  </si>
  <si>
    <t>Revenue a quarter (Q2 2026)</t>
  </si>
  <si>
    <t>Inputs: F_rev</t>
  </si>
  <si>
    <t>Average paid subscribers (Q2 2026)</t>
  </si>
  <si>
    <t>Start and end of the quarter</t>
  </si>
  <si>
    <t>Subscription revenue per paid subscriber a month</t>
  </si>
  <si>
    <t>Used as the Super price for a price rise (Max is priced higher, so this slightly overstates Super)</t>
  </si>
  <si>
    <t>Gross margin before Super gets Video Call (Q4 2025)</t>
  </si>
  <si>
    <t>The last quarter with Video Call in Max only; the flagship list price was the same then as in June 2026</t>
  </si>
  <si>
    <t>Duolingo's Q3 2026 guidance</t>
  </si>
  <si>
    <t>Room for Super's Video Call a quarter (to the target)</t>
  </si>
  <si>
    <t>Margin points above the target × revenue</t>
  </si>
  <si>
    <t>Room a quarter to the target plus headroom</t>
  </si>
  <si>
    <t>Used to set the allowance</t>
  </si>
  <si>
    <t>Five ways to do it</t>
  </si>
  <si>
    <t>Price list row</t>
  </si>
  <si>
    <t>Monthly allowance, minutes (1,000,000 = none)</t>
  </si>
  <si>
    <t>Super price rise</t>
  </si>
  <si>
    <t>Minutes a month, light callers (uncapped)</t>
  </si>
  <si>
    <t>Minutes a month, regular callers (uncapped)</t>
  </si>
  <si>
    <t>Minutes a month, heavy callers (uncapped)</t>
  </si>
  <si>
    <t>… light, after the allowance</t>
  </si>
  <si>
    <t>… regular, after the allowance</t>
  </si>
  <si>
    <t>… heavy, after the allowance</t>
  </si>
  <si>
    <t>Minutes a month per caller</t>
  </si>
  <si>
    <t>AI cost per caller a month</t>
  </si>
  <si>
    <t>Super subscribers (paid less Max)</t>
  </si>
  <si>
    <t>Super subscribers who call</t>
  </si>
  <si>
    <t>Super's Video Call cost a quarter</t>
  </si>
  <si>
    <t>Extra revenue a quarter from the price rise</t>
  </si>
  <si>
    <t>Change against before</t>
  </si>
  <si>
    <t>What holds the target</t>
  </si>
  <si>
    <t>Room a month per caller</t>
  </si>
  <si>
    <t>BudgetQ ÷ (callers × 3)</t>
  </si>
  <si>
    <t>Allowance that holds the target, flagship model (minutes)</t>
  </si>
  <si>
    <t>Solved on option A's uncapped minutes</t>
  </si>
  <si>
    <t>Allowance that holds the target, mini model (minutes)</t>
  </si>
  <si>
    <t>Solved on option B's uncapped minutes</t>
  </si>
  <si>
    <t>Allowance that holds the target plus headroom, mini model</t>
  </si>
  <si>
    <t>Same, to the target plus the headroom judgment</t>
  </si>
  <si>
    <t>The allowance offered (whole steps)</t>
  </si>
  <si>
    <t>Rounded down to the step</t>
  </si>
  <si>
    <t>Share of Super minutes on the mini model that holds the target, no allowance</t>
  </si>
  <si>
    <t>Above 100%: even all calls on the mini model miss the target</t>
  </si>
  <si>
    <t>Super subscription revenue a quarter</t>
  </si>
  <si>
    <t>Super price rise that holds the margin percentage, flagship unlimited</t>
  </si>
  <si>
    <t>Extra revenue carries the same non-AI costs</t>
  </si>
  <si>
    <t>Super price rise that holds the margin percentage, mini unlimited</t>
  </si>
  <si>
    <t>Super price rise that keeps gross profit dollars whole, flagship unlimited</t>
  </si>
  <si>
    <t>Option E</t>
  </si>
  <si>
    <t>Super price rise that keeps gross profit dollars whole, mini unlimited</t>
  </si>
  <si>
    <t>Share of list price at which unlimited mini calls hold the target</t>
  </si>
  <si>
    <t>Cost is a straight line in the price paid</t>
  </si>
  <si>
    <t>Share of Super subscribers calling at which D falls to the target</t>
  </si>
  <si>
    <t>Cost is a straight line in adoption; 100% when the allowance is zero</t>
  </si>
  <si>
    <t>The next allowance down</t>
  </si>
  <si>
    <t>AI cost per caller a month at the next allowance down</t>
  </si>
  <si>
    <t>Mini model</t>
  </si>
  <si>
    <t>Share of a flagship call's cost from re-reading the conversation</t>
  </si>
  <si>
    <t>CallCost</t>
  </si>
  <si>
    <t>Minutes a month a heavy caller uses, uncapped</t>
  </si>
  <si>
    <t>Calls of the base length the allowance covers</t>
  </si>
  <si>
    <t>Share of Super subscribers calling at which the next allowance down falls to the target</t>
  </si>
  <si>
    <t>Share of re-read conversation hitting the cache at which D falls to the target</t>
  </si>
  <si>
    <t>From the two Engine rows with the cache share at 0 and 1 (cost is a straight line in it)</t>
  </si>
  <si>
    <t>Engine: the whole chain in one row per case</t>
  </si>
  <si>
    <t>Columns C–N are the case's drivers and plan; O onward recompute the call, the minutes, the cost and the margin, as on CallCost and Model.</t>
  </si>
  <si>
    <t>Case</t>
  </si>
  <si>
    <t>What</t>
  </si>
  <si>
    <t>List row</t>
  </si>
  <si>
    <t>Allowance</t>
  </si>
  <si>
    <t>Price rise</t>
  </si>
  <si>
    <t>R</t>
  </si>
  <si>
    <t>tFresh</t>
  </si>
  <si>
    <t>tOut</t>
  </si>
  <si>
    <t>tCtx</t>
  </si>
  <si>
    <t>tSys</t>
  </si>
  <si>
    <t>pAin</t>
  </si>
  <si>
    <t>pAc</t>
  </si>
  <si>
    <t>pAout</t>
  </si>
  <si>
    <t>pTin</t>
  </si>
  <si>
    <t>pTc</t>
  </si>
  <si>
    <t>costCall</t>
  </si>
  <si>
    <t>perMin</t>
  </si>
  <si>
    <t>m1</t>
  </si>
  <si>
    <t>m2</t>
  </si>
  <si>
    <t>m3</t>
  </si>
  <si>
    <t>k1</t>
  </si>
  <si>
    <t>k2</t>
  </si>
  <si>
    <t>k3</t>
  </si>
  <si>
    <t>minPerCaller</t>
  </si>
  <si>
    <t>costPerCaller</t>
  </si>
  <si>
    <t>superSubs</t>
  </si>
  <si>
    <t>callers</t>
  </si>
  <si>
    <t>costQ</t>
  </si>
  <si>
    <t>addRev</t>
  </si>
  <si>
    <t>gm</t>
  </si>
  <si>
    <t>base.A</t>
  </si>
  <si>
    <t>Base case, option A · Flagship, unlimited</t>
  </si>
  <si>
    <t>base.B</t>
  </si>
  <si>
    <t>Base case, option B · Mini, unlimited</t>
  </si>
  <si>
    <t>base.C</t>
  </si>
  <si>
    <t>Base case, option C · Flagship, allowance</t>
  </si>
  <si>
    <t>base.D</t>
  </si>
  <si>
    <t>Base case, option D · Mini, allowance (recommended)</t>
  </si>
  <si>
    <t>base.E</t>
  </si>
  <si>
    <t>Base case, option E · Flagship, unlimited, Super price up</t>
  </si>
  <si>
    <t>scen.bear.A</t>
  </si>
  <si>
    <t>Bear case, option A · Flagship, unlimited</t>
  </si>
  <si>
    <t>scen.bear.B</t>
  </si>
  <si>
    <t>Bear case, option B · Mini, unlimited</t>
  </si>
  <si>
    <t>scen.bear.C</t>
  </si>
  <si>
    <t>Bear case, option C · Flagship, allowance</t>
  </si>
  <si>
    <t>scen.bear.D</t>
  </si>
  <si>
    <t>Bear case, option D · Mini, allowance (recommended)</t>
  </si>
  <si>
    <t>scen.bear.E</t>
  </si>
  <si>
    <t>Bear case, option E · Flagship, unlimited, Super price up</t>
  </si>
  <si>
    <t>scen.base.A</t>
  </si>
  <si>
    <t>scen.base.B</t>
  </si>
  <si>
    <t>scen.base.C</t>
  </si>
  <si>
    <t>scen.base.D</t>
  </si>
  <si>
    <t>scen.base.E</t>
  </si>
  <si>
    <t>scen.bull.A</t>
  </si>
  <si>
    <t>Bull case, option A · Flagship, unlimited</t>
  </si>
  <si>
    <t>scen.bull.B</t>
  </si>
  <si>
    <t>Bull case, option B · Mini, unlimited</t>
  </si>
  <si>
    <t>scen.bull.C</t>
  </si>
  <si>
    <t>Bull case, option C · Flagship, allowance</t>
  </si>
  <si>
    <t>scen.bull.D</t>
  </si>
  <si>
    <t>Bull case, option D · Mini, allowance (recommended)</t>
  </si>
  <si>
    <t>scen.bull.E</t>
  </si>
  <si>
    <t>Bull case, option E · Flagship, unlimited, Super price up</t>
  </si>
  <si>
    <t>torn.maxShare.lo</t>
  </si>
  <si>
    <t>Option D, max subscribers as a share of paid subscribers at its low end</t>
  </si>
  <si>
    <t>torn.maxShare.hi</t>
  </si>
  <si>
    <t>Option D, max subscribers as a share of paid subscribers at its high end</t>
  </si>
  <si>
    <t>torn.adoptSuper.lo</t>
  </si>
  <si>
    <t>Option D, super subscribers who make at least one call a month at its low end</t>
  </si>
  <si>
    <t>torn.adoptSuper.hi</t>
  </si>
  <si>
    <t>Option D, super subscribers who make at least one call a month at its high end</t>
  </si>
  <si>
    <t>torn.callsScale.lo</t>
  </si>
  <si>
    <t>Option D, calls a month, against the usage tiers at its low end</t>
  </si>
  <si>
    <t>torn.callsScale.hi</t>
  </si>
  <si>
    <t>Option D, calls a month, against the usage tiers at its high end</t>
  </si>
  <si>
    <t>torn.L.lo</t>
  </si>
  <si>
    <t>Option D, length of a call at its low end</t>
  </si>
  <si>
    <t>torn.L.hi</t>
  </si>
  <si>
    <t>Option D, length of a call at its high end</t>
  </si>
  <si>
    <t>torn.s.lo</t>
  </si>
  <si>
    <t>Option D, share of a call the learner is speaking at its low end</t>
  </si>
  <si>
    <t>torn.s.hi</t>
  </si>
  <si>
    <t>Option D, share of a call the learner is speaking at its high end</t>
  </si>
  <si>
    <t>torn.r.lo</t>
  </si>
  <si>
    <t>Option D, lily's replies a minute at its low end</t>
  </si>
  <si>
    <t>torn.r.hi</t>
  </si>
  <si>
    <t>Option D, lily's replies a minute at its high end</t>
  </si>
  <si>
    <t>torn.c.lo</t>
  </si>
  <si>
    <t>Option D, share of re-read conversation billed at the cached price at its low end</t>
  </si>
  <si>
    <t>torn.c.hi</t>
  </si>
  <si>
    <t>Option D, share of re-read conversation billed at the cached price at its high end</t>
  </si>
  <si>
    <t>torn.sysTok.lo</t>
  </si>
  <si>
    <t>Option D, instruction text tokens read with each reply at its low end</t>
  </si>
  <si>
    <t>torn.sysTok.hi</t>
  </si>
  <si>
    <t>Option D, instruction text tokens read with each reply at its high end</t>
  </si>
  <si>
    <t>torn.realization.lo</t>
  </si>
  <si>
    <t>Option D, price duolingo pays, as a share of list at its low end</t>
  </si>
  <si>
    <t>torn.realization.hi</t>
  </si>
  <si>
    <t>Option D, price duolingo pays, as a share of list at its high end</t>
  </si>
  <si>
    <t>two.0.0</t>
  </si>
  <si>
    <t>Option D, top driver at point 1, second at point 1</t>
  </si>
  <si>
    <t>two.0.1</t>
  </si>
  <si>
    <t>Option D, top driver at point 1, second at point 2</t>
  </si>
  <si>
    <t>two.0.2</t>
  </si>
  <si>
    <t>Option D, top driver at point 1, second at point 3</t>
  </si>
  <si>
    <t>two.0.3</t>
  </si>
  <si>
    <t>Option D, top driver at point 1, second at point 4</t>
  </si>
  <si>
    <t>two.0.4</t>
  </si>
  <si>
    <t>Option D, top driver at point 1, second at point 5</t>
  </si>
  <si>
    <t>two.1.0</t>
  </si>
  <si>
    <t>Option D, top driver at point 2, second at point 1</t>
  </si>
  <si>
    <t>two.1.1</t>
  </si>
  <si>
    <t>Option D, top driver at point 2, second at point 2</t>
  </si>
  <si>
    <t>two.1.2</t>
  </si>
  <si>
    <t>Option D, top driver at point 2, second at point 3</t>
  </si>
  <si>
    <t>two.1.3</t>
  </si>
  <si>
    <t>Option D, top driver at point 2, second at point 4</t>
  </si>
  <si>
    <t>two.1.4</t>
  </si>
  <si>
    <t>Option D, top driver at point 2, second at point 5</t>
  </si>
  <si>
    <t>two.2.0</t>
  </si>
  <si>
    <t>Option D, top driver at point 3, second at point 1</t>
  </si>
  <si>
    <t>two.2.1</t>
  </si>
  <si>
    <t>Option D, top driver at point 3, second at point 2</t>
  </si>
  <si>
    <t>two.2.2</t>
  </si>
  <si>
    <t>Option D, top driver at point 3, second at point 3</t>
  </si>
  <si>
    <t>two.2.3</t>
  </si>
  <si>
    <t>Option D, top driver at point 3, second at point 4</t>
  </si>
  <si>
    <t>two.2.4</t>
  </si>
  <si>
    <t>Option D, top driver at point 3, second at point 5</t>
  </si>
  <si>
    <t>two.3.0</t>
  </si>
  <si>
    <t>Option D, top driver at point 4, second at point 1</t>
  </si>
  <si>
    <t>two.3.1</t>
  </si>
  <si>
    <t>Option D, top driver at point 4, second at point 2</t>
  </si>
  <si>
    <t>two.3.2</t>
  </si>
  <si>
    <t>Option D, top driver at point 4, second at point 3</t>
  </si>
  <si>
    <t>two.3.3</t>
  </si>
  <si>
    <t>Option D, top driver at point 4, second at point 4</t>
  </si>
  <si>
    <t>two.3.4</t>
  </si>
  <si>
    <t>Option D, top driver at point 4, second at point 5</t>
  </si>
  <si>
    <t>two.4.0</t>
  </si>
  <si>
    <t>Option D, top driver at point 5, second at point 1</t>
  </si>
  <si>
    <t>two.4.1</t>
  </si>
  <si>
    <t>Option D, top driver at point 5, second at point 2</t>
  </si>
  <si>
    <t>two.4.2</t>
  </si>
  <si>
    <t>Option D, top driver at point 5, second at point 3</t>
  </si>
  <si>
    <t>two.4.3</t>
  </si>
  <si>
    <t>Option D, top driver at point 5, second at point 4</t>
  </si>
  <si>
    <t>two.4.4</t>
  </si>
  <si>
    <t>Option D, top driver at point 5, second at point 5</t>
  </si>
  <si>
    <t>cap.0.mini</t>
  </si>
  <si>
    <t>Mini model, allowance 0 minutes</t>
  </si>
  <si>
    <t>cap.0.flag</t>
  </si>
  <si>
    <t>Flagship model, allowance 0 minutes</t>
  </si>
  <si>
    <t>cap.5.mini</t>
  </si>
  <si>
    <t>Mini model, allowance 5 minutes</t>
  </si>
  <si>
    <t>cap.5.flag</t>
  </si>
  <si>
    <t>Flagship model, allowance 5 minutes</t>
  </si>
  <si>
    <t>cap.10.mini</t>
  </si>
  <si>
    <t>Mini model, allowance 10 minutes</t>
  </si>
  <si>
    <t>cap.10.flag</t>
  </si>
  <si>
    <t>Flagship model, allowance 10 minutes</t>
  </si>
  <si>
    <t>cap.15.mini</t>
  </si>
  <si>
    <t>Mini model, allowance 15 minutes</t>
  </si>
  <si>
    <t>cap.15.flag</t>
  </si>
  <si>
    <t>Flagship model, allowance 15 minutes</t>
  </si>
  <si>
    <t>cap.20.mini</t>
  </si>
  <si>
    <t>Mini model, allowance 20 minutes</t>
  </si>
  <si>
    <t>cap.20.flag</t>
  </si>
  <si>
    <t>Flagship model, allowance 20 minutes</t>
  </si>
  <si>
    <t>cap.25.mini</t>
  </si>
  <si>
    <t>Mini model, allowance 25 minutes</t>
  </si>
  <si>
    <t>cap.25.flag</t>
  </si>
  <si>
    <t>Flagship model, allowance 25 minutes</t>
  </si>
  <si>
    <t>cap.30.mini</t>
  </si>
  <si>
    <t>Mini model, allowance 30 minutes</t>
  </si>
  <si>
    <t>cap.30.flag</t>
  </si>
  <si>
    <t>Flagship model, allowance 30 minutes</t>
  </si>
  <si>
    <t>cap.35.mini</t>
  </si>
  <si>
    <t>Mini model, allowance 35 minutes</t>
  </si>
  <si>
    <t>cap.35.flag</t>
  </si>
  <si>
    <t>Flagship model, allowance 35 minutes</t>
  </si>
  <si>
    <t>cap.40.mini</t>
  </si>
  <si>
    <t>Mini model, allowance 40 minutes</t>
  </si>
  <si>
    <t>cap.40.flag</t>
  </si>
  <si>
    <t>Flagship model, allowance 40 minutes</t>
  </si>
  <si>
    <t>cap.45.mini</t>
  </si>
  <si>
    <t>Mini model, allowance 45 minutes</t>
  </si>
  <si>
    <t>cap.45.flag</t>
  </si>
  <si>
    <t>Flagship model, allowance 45 minutes</t>
  </si>
  <si>
    <t>cap.50.mini</t>
  </si>
  <si>
    <t>Mini model, allowance 50 minutes</t>
  </si>
  <si>
    <t>cap.50.flag</t>
  </si>
  <si>
    <t>Flagship model, allowance 50 minutes</t>
  </si>
  <si>
    <t>cap.55.mini</t>
  </si>
  <si>
    <t>Mini model, allowance 55 minutes</t>
  </si>
  <si>
    <t>cap.55.flag</t>
  </si>
  <si>
    <t>Flagship model, allowance 55 minutes</t>
  </si>
  <si>
    <t>cap.60.mini</t>
  </si>
  <si>
    <t>Mini model, allowance 60 minutes</t>
  </si>
  <si>
    <t>cap.60.flag</t>
  </si>
  <si>
    <t>Flagship model, allowance 60 minutes</t>
  </si>
  <si>
    <t>cap.65.mini</t>
  </si>
  <si>
    <t>Mini model, allowance 65 minutes</t>
  </si>
  <si>
    <t>cap.65.flag</t>
  </si>
  <si>
    <t>Flagship model, allowance 65 minutes</t>
  </si>
  <si>
    <t>cap.70.mini</t>
  </si>
  <si>
    <t>Mini model, allowance 70 minutes</t>
  </si>
  <si>
    <t>cap.70.flag</t>
  </si>
  <si>
    <t>Flagship model, allowance 70 minutes</t>
  </si>
  <si>
    <t>cap.75.mini</t>
  </si>
  <si>
    <t>Mini model, allowance 75 minutes</t>
  </si>
  <si>
    <t>cap.75.flag</t>
  </si>
  <si>
    <t>Flagship model, allowance 75 minutes</t>
  </si>
  <si>
    <t>cap.80.mini</t>
  </si>
  <si>
    <t>Mini model, allowance 80 minutes</t>
  </si>
  <si>
    <t>cap.80.flag</t>
  </si>
  <si>
    <t>Flagship model, allowance 80 minutes</t>
  </si>
  <si>
    <t>cap.85.mini</t>
  </si>
  <si>
    <t>Mini model, allowance 85 minutes</t>
  </si>
  <si>
    <t>cap.85.flag</t>
  </si>
  <si>
    <t>Flagship model, allowance 85 minutes</t>
  </si>
  <si>
    <t>cap.90.mini</t>
  </si>
  <si>
    <t>Mini model, allowance 90 minutes</t>
  </si>
  <si>
    <t>cap.90.flag</t>
  </si>
  <si>
    <t>Flagship model, allowance 90 minutes</t>
  </si>
  <si>
    <t>cap.95.mini</t>
  </si>
  <si>
    <t>Mini model, allowance 95 minutes</t>
  </si>
  <si>
    <t>cap.95.flag</t>
  </si>
  <si>
    <t>Flagship model, allowance 95 minutes</t>
  </si>
  <si>
    <t>cap.100.mini</t>
  </si>
  <si>
    <t>Mini model, allowance 100 minutes</t>
  </si>
  <si>
    <t>cap.100.flag</t>
  </si>
  <si>
    <t>Flagship model, allowance 100 minutes</t>
  </si>
  <si>
    <t>cap.105.mini</t>
  </si>
  <si>
    <t>Mini model, allowance 105 minutes</t>
  </si>
  <si>
    <t>cap.105.flag</t>
  </si>
  <si>
    <t>Flagship model, allowance 105 minutes</t>
  </si>
  <si>
    <t>cap.110.mini</t>
  </si>
  <si>
    <t>Mini model, allowance 110 minutes</t>
  </si>
  <si>
    <t>cap.110.flag</t>
  </si>
  <si>
    <t>Flagship model, allowance 110 minutes</t>
  </si>
  <si>
    <t>cap.115.mini</t>
  </si>
  <si>
    <t>Mini model, allowance 115 minutes</t>
  </si>
  <si>
    <t>cap.115.flag</t>
  </si>
  <si>
    <t>Flagship model, allowance 115 minutes</t>
  </si>
  <si>
    <t>cap.120.mini</t>
  </si>
  <si>
    <t>Mini model, allowance 120 minutes</t>
  </si>
  <si>
    <t>cap.120.flag</t>
  </si>
  <si>
    <t>Flagship model, allowance 120 minutes</t>
  </si>
  <si>
    <t>check.c0</t>
  </si>
  <si>
    <t>Option D with no cache hits</t>
  </si>
  <si>
    <t>check.c1</t>
  </si>
  <si>
    <t>Option D with every re-read cached</t>
  </si>
  <si>
    <t>check.atCapMini</t>
  </si>
  <si>
    <t>Mini model at the allowance that holds the target</t>
  </si>
  <si>
    <t>check.atCapFlag</t>
  </si>
  <si>
    <t>Flagship model at the allowance that holds the target</t>
  </si>
  <si>
    <t>check.atCapPlanRaw</t>
  </si>
  <si>
    <t>Mini model at the allowance that holds target plus headroom</t>
  </si>
  <si>
    <t>check.atPriceHold</t>
  </si>
  <si>
    <t>Flagship unlimited with the price rise that holds the margin</t>
  </si>
  <si>
    <t>check.atAdoptBreak</t>
  </si>
  <si>
    <t>Option D at the break-even adoption</t>
  </si>
  <si>
    <t>check.atCBreak</t>
  </si>
  <si>
    <t>Option D at the break-even cache share</t>
  </si>
  <si>
    <t>check.atAdoptBreakLow</t>
  </si>
  <si>
    <t>Next allowance down at its break-even adoption</t>
  </si>
  <si>
    <t>check.aLow</t>
  </si>
  <si>
    <t>Flagship unlimited, adoption at the low end</t>
  </si>
  <si>
    <t>check.aLowHi</t>
  </si>
  <si>
    <t>Flagship unlimited, adoption low and cache high</t>
  </si>
  <si>
    <t>Sensitivity of the recommended plan (D)</t>
  </si>
  <si>
    <t>Tornado on D's margin, a two-way table on its top two drivers (picked by the tornado), the allowance curve and the scenarios. All rows are live Engine rows.</t>
  </si>
  <si>
    <t>Margin at low</t>
  </si>
  <si>
    <t>Margin at high</t>
  </si>
  <si>
    <t>Base margin</t>
  </si>
  <si>
    <t>Swing</t>
  </si>
  <si>
    <t>Rank</t>
  </si>
  <si>
    <t>Live value</t>
  </si>
  <si>
    <t>Top driver (row in the table)</t>
  </si>
  <si>
    <t>Second driver (row in the table)</t>
  </si>
  <si>
    <t>Two-way table: D's margin, top driver down, second driver across</t>
  </si>
  <si>
    <t>Top driver ↓ · second driver → (values as on Inputs; 0.30 = 30%)</t>
  </si>
  <si>
    <t>The allowance curve: margin by monthly allowance</t>
  </si>
  <si>
    <t>Allowance, minutes a month</t>
  </si>
  <si>
    <t>Flagship model</t>
  </si>
  <si>
    <t>Scenarios: gross margin of each option</t>
  </si>
  <si>
    <t>Does the cost model match what Duolingo reported?</t>
  </si>
  <si>
    <t>Two checks against the company's own numbers: the Q1 2025 margin drop it put mainly on generative AI costs for Max, and its February 2026 outlook for giving Video Call to Super.</t>
  </si>
  <si>
    <t>1 · Q1 2025: Max subscribers' Video Call against the margin Duolingo lost</t>
  </si>
  <si>
    <t>Price list row (GPT-4o real-time, December 2024)</t>
  </si>
  <si>
    <t>In force through Q1 2025</t>
  </si>
  <si>
    <t>CallCost, same drivers</t>
  </si>
  <si>
    <t>Minutes a month per caller at Q1 2025 usage</t>
  </si>
  <si>
    <t>Tiers × the 2025 usage judgment</t>
  </si>
  <si>
    <t>Average paid subscribers, Q1 2025</t>
  </si>
  <si>
    <t>Max subscribers who call</t>
  </si>
  <si>
    <t>Model: Video Call cost in Q1 2025</t>
  </si>
  <si>
    <t>Video Call was announced in Q3 2024, so Q1 2024 had none</t>
  </si>
  <si>
    <t>Margin points lost, Q1 2024 to Q1 2025</t>
  </si>
  <si>
    <t>Duolingo: mainly generative AI costs for Max</t>
  </si>
  <si>
    <t>Those points in dollars, on Q1 2025 revenue</t>
  </si>
  <si>
    <t>Model as a share of the margin Duolingo lost</t>
  </si>
  <si>
    <t>Model, in margin points</t>
  </si>
  <si>
    <t>2 · February 2026: Duolingo's outlook for giving Video Call to Super, against the model</t>
  </si>
  <si>
    <t>Gross margin, Q4 2025</t>
  </si>
  <si>
    <t>Before</t>
  </si>
  <si>
    <t>Duolingo's outlook for the rest of 2026 ("roughly 69%")</t>
  </si>
  <si>
    <t>8-K 0001628280-26-012246: "We expect our gross margin percentage to be approximately 71% in Q1 and roughly 69% for the rest of the year, driven primarily by expanding access to AI-powered features for all users."</t>
  </si>
  <si>
    <t>Points Duolingo expected to give up</t>
  </si>
  <si>
    <t>Includes voice answers for all learners, which the model leaves out</t>
  </si>
  <si>
    <t>Model, Super gets Video Call on the flagship model, unlimited (A)</t>
  </si>
  <si>
    <t>Model, Super gets Video Call on the mini model, unlimited (B)</t>
  </si>
  <si>
    <t>Model, flagship unlimited, with adoption at the low end of its range</t>
  </si>
  <si>
    <t>Engine row; at the low end of adoption a flagship rollout is close to Duolingo's outlook</t>
  </si>
  <si>
    <t>… and with the cache share at the high end too</t>
  </si>
  <si>
    <t>Engine row</t>
  </si>
  <si>
    <t>What happened: gross margin, Q2 2026</t>
  </si>
  <si>
    <t>10-Q 0001628280-26-053603; Duolingo now guides 71.0% for Q3 and 71.6% for the year</t>
  </si>
  <si>
    <t>Integrity checks</t>
  </si>
  <si>
    <t>Each must read OK. finalize_excel.py plants errors to show they can go red.</t>
  </si>
  <si>
    <t>Check</t>
  </si>
  <si>
    <t>Tolerance</t>
  </si>
  <si>
    <t>Status</t>
  </si>
  <si>
    <t>Gross margin from the XBRL facts matches the margin each filing states (10 quarters)</t>
  </si>
  <si>
    <t>Revenue per paid subscriber: computed growth within 1.5 points of the growth Duolingo states</t>
  </si>
  <si>
    <t>OpenAI's per-minute figures give whole token rates (600 in, 1,200 out a minute)</t>
  </si>
  <si>
    <t>Usage tiers' shares add to 100%</t>
  </si>
  <si>
    <t>Tiers are in order of calls (the allowance formula needs it)</t>
  </si>
  <si>
    <t>Each call's four costs add to its total (all price lists)</t>
  </si>
  <si>
    <t>Model sheet equals the Engine rows, five options (margin and cost)</t>
  </si>
  <si>
    <t>Mini model at the solved allowance gives exactly the target (or needs none)</t>
  </si>
  <si>
    <t>Flagship model at the solved allowance gives exactly the target (or needs none)</t>
  </si>
  <si>
    <t>Mini model at the unrounded plan allowance gives the target plus headroom (or needs none)</t>
  </si>
  <si>
    <t>The offered allowance is no larger than the solved one</t>
  </si>
  <si>
    <t>Price rise that holds the margin gives exactly the target</t>
  </si>
  <si>
    <t>Option E keeps gross profit dollars whole</t>
  </si>
  <si>
    <t>D at the break-even adoption gives exactly the target (when D has any cost)</t>
  </si>
  <si>
    <t>D at the break-even cache share gives exactly the target (when caching matters)</t>
  </si>
  <si>
    <t>The next allowance down at its break-even adoption gives exactly the target (when it has any cost)</t>
  </si>
  <si>
    <t>Base scenario row equals option D</t>
  </si>
  <si>
    <t>Two-way table's centre equals option D</t>
  </si>
  <si>
    <t>Two-way table's drivers are the tornado's top two, and they differ</t>
  </si>
  <si>
    <t>The allowance curve never rises as the allowance grows (both models)</t>
  </si>
  <si>
    <t>Q1 2025 check: Max callers are fewer than Max subscribers</t>
  </si>
  <si>
    <t>Override cells are blank at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</si>
</sst>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Red]\-&quot;$&quot;#,##0"/>
    <numFmt numFmtId="165" formatCode="&quot;$&quot;#,##0.00;[Red]\-&quot;$&quot;#,##0.00"/>
    <numFmt numFmtId="166" formatCode="0.0%"/>
    <numFmt numFmtId="167" formatCode="#,##0.0"/>
    <numFmt numFmtId="168" formatCode="&quot;$&quot;#,##0.00,,&quot;m&quot;;[Red]\-&quot;$&quot;#,##0.00,,&quot;m&quot;"/>
    <numFmt numFmtId="169" formatCode="&quot;$&quot;#,##0.0000"/>
    <numFmt numFmtId="170" formatCode="0.000000000"/>
    <numFmt numFmtId="171" formatCode="0.0E+00"/>
  </numFmts>
  <fonts count="7" x14ac:knownFonts="1">
    <font>
      <sz val="11"/>
      <color theme="1"/>
      <name val="Calibri"/>
      <family val="2"/>
      <scheme val="minor"/>
    </font>
    <font>
      <b/>
      <sz val="14"/>
      <name val="Calibri"/>
    </font>
    <font>
      <i/>
      <sz val="11"/>
      <color rgb="FF4B5563"/>
      <name val="Calibri"/>
    </font>
    <font>
      <b/>
      <sz val="12"/>
      <name val="Calibri"/>
    </font>
    <font>
      <b/>
      <sz val="11"/>
      <color rgb="FFFFFFFF"/>
      <name val="Calibri"/>
    </font>
    <font>
      <sz val="9"/>
      <color rgb="FF6B7280"/>
      <name val="Calibri"/>
    </font>
    <font>
      <b/>
      <sz val="11"/>
      <name val="Calibri"/>
    </font>
  </fonts>
  <fills count="6">
    <fill>
      <patternFill patternType="none"/>
    </fill>
    <fill>
      <patternFill patternType="gray125"/>
    </fill>
    <fill>
      <patternFill patternType="solid">
        <fgColor rgb="FF1F2937"/>
      </patternFill>
    </fill>
    <fill>
      <patternFill patternType="solid">
        <fgColor rgb="FFEAF2FF"/>
      </patternFill>
    </fill>
    <fill>
      <patternFill patternType="solid">
        <fgColor rgb="FFFFF7D6"/>
      </patternFill>
    </fill>
    <fill>
      <patternFill patternType="solid">
        <fgColor rgb="FFF3F4F6"/>
      </patternFill>
    </fill>
  </fills>
  <borders count="1">
    <border>
      <left/>
      <right/>
      <top/>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6" fillId="0" borderId="0" xfId="0" applyFont="1"/>
    <xf numFmtId="3" fontId="0" fillId="0" borderId="0" xfId="0" applyNumberFormat="1"/>
    <xf numFmtId="10" fontId="0" fillId="0" borderId="0" xfId="0" applyNumberFormat="1"/>
    <xf numFmtId="166" fontId="0" fillId="0" borderId="0" xfId="0" applyNumberFormat="1"/>
    <xf numFmtId="169" fontId="0" fillId="0" borderId="0" xfId="0" applyNumberFormat="1"/>
    <xf numFmtId="0" fontId="4" fillId="2" borderId="0" xfId="0" applyFont="1" applyFill="1" applyAlignment="1">
      <alignment horizontal="center" vertical="center" wrapText="1"/>
    </xf>
    <xf numFmtId="0" fontId="3" fillId="0" borderId="0" xfId="0" applyFont="1"/>
    <xf numFmtId="164" fontId="0" fillId="3" borderId="0" xfId="0" applyNumberFormat="1" applyFill="1"/>
    <xf numFmtId="0" fontId="5" fillId="0" borderId="0" xfId="0" applyFont="1"/>
    <xf numFmtId="3" fontId="0" fillId="3" borderId="0" xfId="0" applyNumberFormat="1" applyFill="1"/>
    <xf numFmtId="10" fontId="0" fillId="3" borderId="0" xfId="0" applyNumberFormat="1" applyFill="1"/>
    <xf numFmtId="165" fontId="0" fillId="3" borderId="0" xfId="0" applyNumberFormat="1" applyFill="1"/>
    <xf numFmtId="0" fontId="0" fillId="4" borderId="0" xfId="0" applyFill="1"/>
    <xf numFmtId="166" fontId="0" fillId="3" borderId="0" xfId="0" applyNumberFormat="1" applyFill="1"/>
    <xf numFmtId="3" fontId="0" fillId="4" borderId="0" xfId="0" applyNumberFormat="1" applyFill="1"/>
    <xf numFmtId="166" fontId="0" fillId="4" borderId="0" xfId="0" applyNumberFormat="1" applyFill="1"/>
    <xf numFmtId="166" fontId="0" fillId="5" borderId="0" xfId="0" applyNumberFormat="1" applyFill="1"/>
    <xf numFmtId="2" fontId="0" fillId="4" borderId="0" xfId="0" applyNumberFormat="1" applyFill="1"/>
    <xf numFmtId="2" fontId="0" fillId="5" borderId="0" xfId="0" applyNumberFormat="1" applyFill="1"/>
    <xf numFmtId="2" fontId="0" fillId="0" borderId="0" xfId="0" applyNumberFormat="1"/>
    <xf numFmtId="167" fontId="0" fillId="4" borderId="0" xfId="0" applyNumberFormat="1" applyFill="1"/>
    <xf numFmtId="167" fontId="0" fillId="5" borderId="0" xfId="0" applyNumberFormat="1" applyFill="1"/>
    <xf numFmtId="167" fontId="0" fillId="0" borderId="0" xfId="0" applyNumberFormat="1"/>
    <xf numFmtId="3" fontId="0" fillId="5" borderId="0" xfId="0" applyNumberFormat="1" applyFill="1"/>
    <xf numFmtId="10" fontId="0" fillId="4" borderId="0" xfId="0" applyNumberFormat="1" applyFill="1"/>
    <xf numFmtId="10" fontId="0" fillId="5" borderId="0" xfId="0" applyNumberFormat="1" applyFill="1"/>
    <xf numFmtId="168" fontId="0" fillId="3" borderId="0" xfId="0" applyNumberFormat="1" applyFill="1"/>
    <xf numFmtId="165" fontId="0" fillId="0" borderId="0" xfId="0" applyNumberFormat="1"/>
    <xf numFmtId="0" fontId="0" fillId="0" borderId="0" xfId="0" applyAlignment="1">
      <alignment horizontal="right"/>
    </xf>
    <xf numFmtId="169" fontId="6" fillId="0" borderId="0" xfId="0" applyNumberFormat="1" applyFont="1"/>
    <xf numFmtId="168" fontId="0" fillId="0" borderId="0" xfId="0" applyNumberFormat="1"/>
    <xf numFmtId="168" fontId="6" fillId="0" borderId="0" xfId="0" applyNumberFormat="1" applyFont="1"/>
    <xf numFmtId="10" fontId="6" fillId="0" borderId="0" xfId="0" applyNumberFormat="1" applyFont="1"/>
    <xf numFmtId="170" fontId="0" fillId="0" borderId="0" xfId="0" applyNumberFormat="1"/>
    <xf numFmtId="171" fontId="0" fillId="0" borderId="0" xfId="0" applyNumberFormat="1"/>
    <xf numFmtId="0" fontId="0" fillId="0" borderId="0" xfId="0"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8"/>
  <sheetViews>
    <sheetView showGridLines="0" tabSelected="1" workbookViewId="0"/>
  </sheetViews>
  <sheetFormatPr defaultRowHeight="14.25" x14ac:dyDescent="0.45"/>
  <cols>
    <col min="1" max="1" width="2" customWidth="1"/>
    <col min="2" max="2" width="62" customWidth="1"/>
    <col min="3" max="6" width="16" customWidth="1"/>
  </cols>
  <sheetData>
    <row r="1" spans="2:6" ht="18" x14ac:dyDescent="0.55000000000000004">
      <c r="B1" s="1" t="s">
        <v>0</v>
      </c>
    </row>
    <row r="2" spans="2:6" x14ac:dyDescent="0.45">
      <c r="B2" s="2" t="s">
        <v>1</v>
      </c>
    </row>
    <row r="4" spans="2:6" x14ac:dyDescent="0.45">
      <c r="B4" s="3" t="s">
        <v>2</v>
      </c>
    </row>
    <row r="5" spans="2:6" ht="34.049999999999997" customHeight="1" x14ac:dyDescent="0.45">
      <c r="B5" s="38" t="s">
        <v>3</v>
      </c>
      <c r="C5" s="39"/>
      <c r="D5" s="39"/>
      <c r="E5" s="39"/>
      <c r="F5" s="39"/>
    </row>
    <row r="7" spans="2:6" x14ac:dyDescent="0.45">
      <c r="B7" s="3" t="s">
        <v>4</v>
      </c>
    </row>
    <row r="8" spans="2:6" ht="34.049999999999997" customHeight="1" x14ac:dyDescent="0.45">
      <c r="B8" s="38" t="s">
        <v>5</v>
      </c>
      <c r="C8" s="39"/>
      <c r="D8" s="39"/>
      <c r="E8" s="39"/>
      <c r="F8" s="39"/>
    </row>
    <row r="10" spans="2:6" x14ac:dyDescent="0.45">
      <c r="B10" t="s">
        <v>6</v>
      </c>
      <c r="C10" s="4">
        <f>PlanCap</f>
        <v>20</v>
      </c>
    </row>
    <row r="11" spans="2:6" x14ac:dyDescent="0.45">
      <c r="B11" t="s">
        <v>7</v>
      </c>
      <c r="C11" s="5">
        <f>Model!G32</f>
        <v>0.71372463845812351</v>
      </c>
    </row>
    <row r="12" spans="2:6" x14ac:dyDescent="0.45">
      <c r="B12" t="s">
        <v>8</v>
      </c>
      <c r="C12" s="6">
        <f>TargetM</f>
        <v>0.71</v>
      </c>
    </row>
    <row r="13" spans="2:6" x14ac:dyDescent="0.45">
      <c r="B13" t="s">
        <v>9</v>
      </c>
      <c r="C13" s="5">
        <f>GMb</f>
        <v>0.72779176152834535</v>
      </c>
    </row>
    <row r="14" spans="2:6" x14ac:dyDescent="0.45">
      <c r="B14" t="s">
        <v>10</v>
      </c>
      <c r="C14" s="6">
        <f>AdoptBreak</f>
        <v>0.37943284009524403</v>
      </c>
    </row>
    <row r="15" spans="2:6" x14ac:dyDescent="0.45">
      <c r="B15" t="s">
        <v>11</v>
      </c>
      <c r="C15" s="6">
        <f>CBreak</f>
        <v>0.65497576538253399</v>
      </c>
    </row>
    <row r="16" spans="2:6" x14ac:dyDescent="0.45">
      <c r="B16" t="s">
        <v>12</v>
      </c>
      <c r="C16" s="7">
        <f>INDEX(CallCost!$D$24:$I$24,IdxFlag)</f>
        <v>0.37712639999999997</v>
      </c>
    </row>
    <row r="17" spans="2:6" x14ac:dyDescent="0.45">
      <c r="B17" t="s">
        <v>13</v>
      </c>
      <c r="C17" s="7">
        <f>INDEX(CallCost!$D$24:$I$24,IdxMini)</f>
        <v>0.11753279999999999</v>
      </c>
    </row>
    <row r="19" spans="2:6" x14ac:dyDescent="0.45">
      <c r="B19" s="8" t="s">
        <v>14</v>
      </c>
      <c r="C19" s="8" t="s">
        <v>15</v>
      </c>
      <c r="D19" s="8" t="s">
        <v>16</v>
      </c>
      <c r="E19" s="8" t="s">
        <v>17</v>
      </c>
    </row>
    <row r="20" spans="2:6" x14ac:dyDescent="0.45">
      <c r="B20" t="s">
        <v>18</v>
      </c>
      <c r="C20" s="6">
        <f>Engine!AM10</f>
        <v>0.52971587226760841</v>
      </c>
      <c r="D20" s="6">
        <f>Engine!AM15</f>
        <v>0.64912433728795993</v>
      </c>
      <c r="E20" s="6">
        <f>Engine!AM20</f>
        <v>0.69398156366420549</v>
      </c>
    </row>
    <row r="21" spans="2:6" x14ac:dyDescent="0.45">
      <c r="B21" t="s">
        <v>19</v>
      </c>
      <c r="C21" s="6">
        <f>Engine!AM11</f>
        <v>0.66689087912587131</v>
      </c>
      <c r="D21" s="6">
        <f>Engine!AM16</f>
        <v>0.70327477560595864</v>
      </c>
      <c r="E21" s="6">
        <f>Engine!AM21</f>
        <v>0.71710331955106243</v>
      </c>
    </row>
    <row r="22" spans="2:6" x14ac:dyDescent="0.45">
      <c r="B22" t="s">
        <v>20</v>
      </c>
      <c r="C22" s="6">
        <f>Engine!AM12</f>
        <v>0.63287519416506655</v>
      </c>
      <c r="D22" s="6">
        <f>Engine!AM17</f>
        <v>0.68265471483304219</v>
      </c>
      <c r="E22" s="6">
        <f>Engine!AM22</f>
        <v>0.70541329040105605</v>
      </c>
    </row>
    <row r="23" spans="2:6" x14ac:dyDescent="0.45">
      <c r="B23" t="s">
        <v>21</v>
      </c>
      <c r="C23" s="6">
        <f>Engine!AM13</f>
        <v>0.69860848875036285</v>
      </c>
      <c r="D23" s="6">
        <f>Engine!AM18</f>
        <v>0.71372463845812351</v>
      </c>
      <c r="E23" s="6">
        <f>Engine!AM23</f>
        <v>0.72071723948190602</v>
      </c>
    </row>
    <row r="24" spans="2:6" x14ac:dyDescent="0.45">
      <c r="B24" t="s">
        <v>22</v>
      </c>
      <c r="C24" s="6">
        <f>Engine!AM14</f>
        <v>0.54903751964572445</v>
      </c>
      <c r="D24" s="6">
        <f>Engine!AM19</f>
        <v>0.6567980841381712</v>
      </c>
      <c r="E24" s="6">
        <f>Engine!AM24</f>
        <v>0.6972796365561329</v>
      </c>
    </row>
    <row r="26" spans="2:6" x14ac:dyDescent="0.45">
      <c r="B26" s="3" t="s">
        <v>23</v>
      </c>
      <c r="C26" s="3" t="str">
        <f>CheckStatus</f>
        <v>All 22 checks OK</v>
      </c>
    </row>
    <row r="28" spans="2:6" ht="48" customHeight="1" x14ac:dyDescent="0.45">
      <c r="B28" s="40" t="s">
        <v>24</v>
      </c>
      <c r="C28" s="39"/>
      <c r="D28" s="39"/>
      <c r="E28" s="39"/>
      <c r="F28" s="39"/>
    </row>
  </sheetData>
  <mergeCells count="3">
    <mergeCell ref="B8:F8"/>
    <mergeCell ref="B28:F28"/>
    <mergeCell ref="B5:F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70"/>
  <sheetViews>
    <sheetView showGridLines="0" workbookViewId="0"/>
  </sheetViews>
  <sheetFormatPr defaultRowHeight="14.25" x14ac:dyDescent="0.45"/>
  <cols>
    <col min="1" max="1" width="2" customWidth="1"/>
    <col min="2" max="2" width="14" customWidth="1"/>
    <col min="3" max="3" width="46" customWidth="1"/>
    <col min="4" max="4" width="13" customWidth="1"/>
    <col min="5" max="6" width="11" customWidth="1"/>
    <col min="7" max="7" width="10" customWidth="1"/>
    <col min="8" max="8" width="12" customWidth="1"/>
    <col min="9" max="9" width="7" customWidth="1"/>
    <col min="10" max="10" width="30" customWidth="1"/>
    <col min="11" max="11" width="40" customWidth="1"/>
    <col min="12" max="12" width="90" customWidth="1"/>
  </cols>
  <sheetData>
    <row r="1" spans="2:12" ht="18" x14ac:dyDescent="0.55000000000000004">
      <c r="B1" s="1" t="s">
        <v>25</v>
      </c>
    </row>
    <row r="2" spans="2:12" x14ac:dyDescent="0.45">
      <c r="B2" s="2" t="s">
        <v>26</v>
      </c>
    </row>
    <row r="4" spans="2:12" ht="15.75" x14ac:dyDescent="0.5">
      <c r="B4" s="9" t="s">
        <v>27</v>
      </c>
    </row>
    <row r="5" spans="2:12" x14ac:dyDescent="0.45">
      <c r="B5" s="8" t="s">
        <v>28</v>
      </c>
      <c r="C5" s="8" t="s">
        <v>29</v>
      </c>
      <c r="D5" s="8" t="s">
        <v>30</v>
      </c>
      <c r="E5" s="8"/>
      <c r="F5" s="8"/>
      <c r="G5" s="8"/>
      <c r="H5" s="8"/>
      <c r="I5" s="8" t="s">
        <v>31</v>
      </c>
      <c r="J5" s="8" t="s">
        <v>32</v>
      </c>
      <c r="K5" s="8" t="s">
        <v>33</v>
      </c>
      <c r="L5" s="8" t="s">
        <v>34</v>
      </c>
    </row>
    <row r="6" spans="2:12" x14ac:dyDescent="0.45">
      <c r="B6" t="s">
        <v>35</v>
      </c>
      <c r="C6" t="s">
        <v>36</v>
      </c>
      <c r="D6" s="10">
        <v>298454000</v>
      </c>
      <c r="I6" t="s">
        <v>37</v>
      </c>
      <c r="J6" t="s">
        <v>38</v>
      </c>
      <c r="K6" s="11" t="s">
        <v>39</v>
      </c>
      <c r="L6" s="11" t="s">
        <v>40</v>
      </c>
    </row>
    <row r="7" spans="2:12" x14ac:dyDescent="0.45">
      <c r="B7" t="s">
        <v>41</v>
      </c>
      <c r="C7" t="s">
        <v>42</v>
      </c>
      <c r="D7" s="10">
        <v>258035000</v>
      </c>
      <c r="I7" t="s">
        <v>37</v>
      </c>
      <c r="J7" t="s">
        <v>38</v>
      </c>
      <c r="K7" s="11" t="s">
        <v>39</v>
      </c>
      <c r="L7" s="11" t="s">
        <v>43</v>
      </c>
    </row>
    <row r="8" spans="2:12" x14ac:dyDescent="0.45">
      <c r="B8" t="s">
        <v>44</v>
      </c>
      <c r="C8" t="s">
        <v>45</v>
      </c>
      <c r="D8" s="12">
        <v>12500000</v>
      </c>
      <c r="I8" t="s">
        <v>46</v>
      </c>
      <c r="J8" t="s">
        <v>47</v>
      </c>
      <c r="K8" s="11" t="s">
        <v>48</v>
      </c>
      <c r="L8" s="11" t="s">
        <v>49</v>
      </c>
    </row>
    <row r="9" spans="2:12" x14ac:dyDescent="0.45">
      <c r="B9" t="s">
        <v>50</v>
      </c>
      <c r="C9" t="s">
        <v>51</v>
      </c>
      <c r="D9" s="12">
        <v>12700000</v>
      </c>
      <c r="I9" t="s">
        <v>46</v>
      </c>
      <c r="J9" t="s">
        <v>38</v>
      </c>
      <c r="K9" s="11" t="s">
        <v>39</v>
      </c>
      <c r="L9" s="11" t="s">
        <v>52</v>
      </c>
    </row>
    <row r="10" spans="2:12" x14ac:dyDescent="0.45">
      <c r="B10" t="s">
        <v>53</v>
      </c>
      <c r="C10" t="s">
        <v>54</v>
      </c>
      <c r="D10" s="13">
        <v>0.72779176152834535</v>
      </c>
      <c r="I10" t="s">
        <v>55</v>
      </c>
      <c r="J10" t="s">
        <v>56</v>
      </c>
      <c r="K10" s="11" t="s">
        <v>57</v>
      </c>
      <c r="L10" s="11" t="s">
        <v>58</v>
      </c>
    </row>
    <row r="11" spans="2:12" x14ac:dyDescent="0.45">
      <c r="B11" t="s">
        <v>59</v>
      </c>
      <c r="C11" t="s">
        <v>60</v>
      </c>
      <c r="D11" s="10">
        <v>230743000</v>
      </c>
      <c r="I11" t="s">
        <v>37</v>
      </c>
      <c r="J11" t="s">
        <v>61</v>
      </c>
      <c r="K11" s="11" t="s">
        <v>62</v>
      </c>
      <c r="L11" s="11" t="s">
        <v>63</v>
      </c>
    </row>
    <row r="12" spans="2:12" x14ac:dyDescent="0.45">
      <c r="B12" t="s">
        <v>64</v>
      </c>
      <c r="C12" t="s">
        <v>65</v>
      </c>
      <c r="D12" s="13">
        <v>0.71116350225142255</v>
      </c>
      <c r="I12" t="s">
        <v>55</v>
      </c>
      <c r="J12" t="s">
        <v>61</v>
      </c>
      <c r="K12" s="11" t="s">
        <v>62</v>
      </c>
      <c r="L12" s="11" t="s">
        <v>66</v>
      </c>
    </row>
    <row r="13" spans="2:12" x14ac:dyDescent="0.45">
      <c r="B13" t="s">
        <v>67</v>
      </c>
      <c r="C13" t="s">
        <v>68</v>
      </c>
      <c r="D13" s="13">
        <v>0.73028832667872257</v>
      </c>
      <c r="I13" t="s">
        <v>55</v>
      </c>
      <c r="J13" t="s">
        <v>69</v>
      </c>
      <c r="K13" s="11" t="s">
        <v>70</v>
      </c>
      <c r="L13" s="11" t="s">
        <v>71</v>
      </c>
    </row>
    <row r="14" spans="2:12" x14ac:dyDescent="0.45">
      <c r="B14" t="s">
        <v>72</v>
      </c>
      <c r="C14" t="s">
        <v>73</v>
      </c>
      <c r="D14" s="12">
        <v>9500000</v>
      </c>
      <c r="I14" t="s">
        <v>46</v>
      </c>
      <c r="J14" t="s">
        <v>74</v>
      </c>
      <c r="K14" s="11" t="s">
        <v>75</v>
      </c>
      <c r="L14" s="11" t="s">
        <v>76</v>
      </c>
    </row>
    <row r="15" spans="2:12" x14ac:dyDescent="0.45">
      <c r="B15" t="s">
        <v>77</v>
      </c>
      <c r="C15" t="s">
        <v>78</v>
      </c>
      <c r="D15" s="12">
        <v>10300000</v>
      </c>
      <c r="I15" t="s">
        <v>46</v>
      </c>
      <c r="J15" t="s">
        <v>61</v>
      </c>
      <c r="K15" s="11" t="s">
        <v>62</v>
      </c>
      <c r="L15" s="11" t="s">
        <v>79</v>
      </c>
    </row>
    <row r="17" spans="2:12" ht="15.75" x14ac:dyDescent="0.5">
      <c r="B17" s="9" t="s">
        <v>80</v>
      </c>
    </row>
    <row r="18" spans="2:12" ht="28.5" x14ac:dyDescent="0.45">
      <c r="B18" s="8" t="s">
        <v>28</v>
      </c>
      <c r="C18" s="8" t="s">
        <v>81</v>
      </c>
      <c r="D18" s="8" t="s">
        <v>82</v>
      </c>
      <c r="E18" s="8" t="s">
        <v>83</v>
      </c>
      <c r="F18" s="8" t="s">
        <v>84</v>
      </c>
      <c r="G18" s="8" t="s">
        <v>85</v>
      </c>
      <c r="H18" s="8" t="s">
        <v>86</v>
      </c>
      <c r="I18" s="8"/>
      <c r="J18" s="8" t="s">
        <v>87</v>
      </c>
      <c r="K18" s="8" t="s">
        <v>88</v>
      </c>
      <c r="L18" s="8" t="s">
        <v>89</v>
      </c>
    </row>
    <row r="19" spans="2:12" x14ac:dyDescent="0.45">
      <c r="B19" t="s">
        <v>90</v>
      </c>
      <c r="C19" t="s">
        <v>91</v>
      </c>
      <c r="D19" s="14">
        <v>100</v>
      </c>
      <c r="E19" s="14">
        <v>20</v>
      </c>
      <c r="F19" s="14">
        <v>200</v>
      </c>
      <c r="G19" s="14">
        <v>5</v>
      </c>
      <c r="H19" s="14">
        <v>2.5</v>
      </c>
      <c r="J19" t="s">
        <v>92</v>
      </c>
      <c r="K19" s="11" t="s">
        <v>93</v>
      </c>
      <c r="L19" s="11" t="s">
        <v>94</v>
      </c>
    </row>
    <row r="20" spans="2:12" x14ac:dyDescent="0.45">
      <c r="B20" t="s">
        <v>95</v>
      </c>
      <c r="C20" t="s">
        <v>96</v>
      </c>
      <c r="D20" s="14">
        <v>40</v>
      </c>
      <c r="E20" s="14">
        <v>2.5</v>
      </c>
      <c r="F20" s="14">
        <v>80</v>
      </c>
      <c r="G20" s="14">
        <v>5</v>
      </c>
      <c r="H20" s="14">
        <v>2.5</v>
      </c>
      <c r="J20" t="s">
        <v>92</v>
      </c>
      <c r="K20" s="11" t="s">
        <v>93</v>
      </c>
      <c r="L20" s="11" t="s">
        <v>97</v>
      </c>
    </row>
    <row r="21" spans="2:12" x14ac:dyDescent="0.45">
      <c r="B21" t="s">
        <v>98</v>
      </c>
      <c r="C21" t="s">
        <v>99</v>
      </c>
      <c r="D21" s="14">
        <v>10</v>
      </c>
      <c r="E21" s="14">
        <v>0.3</v>
      </c>
      <c r="F21" s="14">
        <v>20</v>
      </c>
      <c r="G21" s="14">
        <v>0.6</v>
      </c>
      <c r="H21" s="14">
        <v>0.3</v>
      </c>
      <c r="J21" t="s">
        <v>92</v>
      </c>
      <c r="K21" s="11" t="s">
        <v>93</v>
      </c>
      <c r="L21" s="11" t="s">
        <v>100</v>
      </c>
    </row>
    <row r="22" spans="2:12" x14ac:dyDescent="0.45">
      <c r="B22" t="s">
        <v>101</v>
      </c>
      <c r="C22" t="s">
        <v>102</v>
      </c>
      <c r="D22" s="14">
        <v>32</v>
      </c>
      <c r="E22" s="14">
        <v>0.4</v>
      </c>
      <c r="F22" s="14">
        <v>64</v>
      </c>
      <c r="G22" s="14">
        <v>4</v>
      </c>
      <c r="H22" s="14">
        <v>0.4</v>
      </c>
      <c r="J22" t="s">
        <v>103</v>
      </c>
      <c r="K22" s="11" t="s">
        <v>104</v>
      </c>
      <c r="L22" s="11" t="s">
        <v>105</v>
      </c>
    </row>
    <row r="23" spans="2:12" x14ac:dyDescent="0.45">
      <c r="B23" t="s">
        <v>106</v>
      </c>
      <c r="C23" t="s">
        <v>107</v>
      </c>
      <c r="D23" s="14">
        <v>10</v>
      </c>
      <c r="E23" s="14">
        <v>0.3</v>
      </c>
      <c r="F23" s="14">
        <v>20</v>
      </c>
      <c r="G23" s="14">
        <v>0.6</v>
      </c>
      <c r="H23" s="14">
        <v>0.06</v>
      </c>
      <c r="J23" t="s">
        <v>103</v>
      </c>
      <c r="K23" s="11" t="s">
        <v>104</v>
      </c>
      <c r="L23" s="11" t="s">
        <v>108</v>
      </c>
    </row>
    <row r="24" spans="2:12" x14ac:dyDescent="0.45">
      <c r="B24" t="s">
        <v>109</v>
      </c>
      <c r="C24" t="s">
        <v>110</v>
      </c>
      <c r="D24" s="14">
        <v>32</v>
      </c>
      <c r="E24" s="14">
        <v>0.4</v>
      </c>
      <c r="F24" s="14">
        <v>64</v>
      </c>
      <c r="G24" s="14">
        <v>4</v>
      </c>
      <c r="H24" s="14">
        <v>0.4</v>
      </c>
      <c r="J24" t="s">
        <v>111</v>
      </c>
      <c r="K24" s="11" t="s">
        <v>112</v>
      </c>
      <c r="L24" s="11" t="s">
        <v>113</v>
      </c>
    </row>
    <row r="26" spans="2:12" ht="15.75" x14ac:dyDescent="0.5">
      <c r="B26" s="9" t="s">
        <v>114</v>
      </c>
    </row>
    <row r="27" spans="2:12" x14ac:dyDescent="0.45">
      <c r="B27" t="s">
        <v>115</v>
      </c>
      <c r="C27" t="s">
        <v>116</v>
      </c>
      <c r="D27" s="14">
        <v>0.06</v>
      </c>
      <c r="K27" s="11" t="s">
        <v>117</v>
      </c>
      <c r="L27" s="11" t="s">
        <v>118</v>
      </c>
    </row>
    <row r="28" spans="2:12" x14ac:dyDescent="0.45">
      <c r="B28" t="s">
        <v>119</v>
      </c>
      <c r="C28" t="s">
        <v>120</v>
      </c>
      <c r="D28" s="14">
        <v>100</v>
      </c>
      <c r="K28" s="11" t="s">
        <v>117</v>
      </c>
      <c r="L28" s="11"/>
    </row>
    <row r="29" spans="2:12" x14ac:dyDescent="0.45">
      <c r="B29" t="s">
        <v>121</v>
      </c>
      <c r="C29" t="s">
        <v>122</v>
      </c>
      <c r="D29" s="14">
        <v>0.24</v>
      </c>
      <c r="K29" s="11" t="s">
        <v>117</v>
      </c>
      <c r="L29" s="11"/>
    </row>
    <row r="30" spans="2:12" x14ac:dyDescent="0.45">
      <c r="B30" t="s">
        <v>123</v>
      </c>
      <c r="C30" t="s">
        <v>124</v>
      </c>
      <c r="D30" s="14">
        <v>200</v>
      </c>
      <c r="K30" s="11" t="s">
        <v>117</v>
      </c>
      <c r="L30" s="11"/>
    </row>
    <row r="31" spans="2:12" x14ac:dyDescent="0.45">
      <c r="B31" t="s">
        <v>125</v>
      </c>
      <c r="C31" t="s">
        <v>126</v>
      </c>
      <c r="D31" s="4">
        <f>MinIn/PIn*1000000</f>
        <v>600</v>
      </c>
      <c r="L31" s="11" t="s">
        <v>127</v>
      </c>
    </row>
    <row r="32" spans="2:12" x14ac:dyDescent="0.45">
      <c r="B32" t="s">
        <v>128</v>
      </c>
      <c r="C32" t="s">
        <v>129</v>
      </c>
      <c r="D32" s="4">
        <f>MinOut/POut*1000000</f>
        <v>1200</v>
      </c>
      <c r="L32" s="11" t="s">
        <v>127</v>
      </c>
    </row>
    <row r="34" spans="2:12" ht="15.75" x14ac:dyDescent="0.5">
      <c r="B34" s="9" t="s">
        <v>130</v>
      </c>
    </row>
    <row r="35" spans="2:12" x14ac:dyDescent="0.45">
      <c r="B35" t="s">
        <v>131</v>
      </c>
      <c r="C35" t="s">
        <v>132</v>
      </c>
      <c r="D35" s="15" t="s">
        <v>109</v>
      </c>
      <c r="L35" s="11" t="s">
        <v>133</v>
      </c>
    </row>
    <row r="36" spans="2:12" x14ac:dyDescent="0.45">
      <c r="B36" t="s">
        <v>134</v>
      </c>
      <c r="C36" t="s">
        <v>135</v>
      </c>
      <c r="D36" s="15" t="s">
        <v>106</v>
      </c>
      <c r="L36" s="11" t="s">
        <v>136</v>
      </c>
    </row>
    <row r="37" spans="2:12" x14ac:dyDescent="0.45">
      <c r="B37" t="s">
        <v>137</v>
      </c>
      <c r="C37" t="s">
        <v>138</v>
      </c>
      <c r="D37" s="15" t="s">
        <v>95</v>
      </c>
      <c r="L37" s="11" t="s">
        <v>139</v>
      </c>
    </row>
    <row r="38" spans="2:12" x14ac:dyDescent="0.45">
      <c r="B38" t="s">
        <v>140</v>
      </c>
      <c r="C38" t="s">
        <v>141</v>
      </c>
      <c r="D38" s="16">
        <v>0.71</v>
      </c>
      <c r="K38" s="11" t="s">
        <v>142</v>
      </c>
      <c r="L38" s="11" t="s">
        <v>143</v>
      </c>
    </row>
    <row r="39" spans="2:12" x14ac:dyDescent="0.45">
      <c r="B39" t="s">
        <v>144</v>
      </c>
      <c r="C39" t="s">
        <v>145</v>
      </c>
      <c r="D39" s="17">
        <v>5</v>
      </c>
      <c r="L39" s="11" t="s">
        <v>146</v>
      </c>
    </row>
    <row r="40" spans="2:12" x14ac:dyDescent="0.45">
      <c r="B40" t="s">
        <v>147</v>
      </c>
      <c r="C40" t="s">
        <v>148</v>
      </c>
      <c r="D40" s="17">
        <v>1000000</v>
      </c>
      <c r="L40" s="11" t="s">
        <v>149</v>
      </c>
    </row>
    <row r="41" spans="2:12" x14ac:dyDescent="0.45">
      <c r="B41" t="s">
        <v>150</v>
      </c>
      <c r="C41" t="s">
        <v>151</v>
      </c>
      <c r="D41" s="4">
        <f>MATCH(FlagKey,ListKeys,0)</f>
        <v>6</v>
      </c>
    </row>
    <row r="42" spans="2:12" x14ac:dyDescent="0.45">
      <c r="B42" t="s">
        <v>152</v>
      </c>
      <c r="C42" t="s">
        <v>153</v>
      </c>
      <c r="D42" s="4">
        <f>MATCH(MiniKey,ListKeys,0)</f>
        <v>5</v>
      </c>
    </row>
    <row r="43" spans="2:12" x14ac:dyDescent="0.45">
      <c r="B43" t="s">
        <v>154</v>
      </c>
      <c r="C43" t="s">
        <v>155</v>
      </c>
      <c r="D43" s="4">
        <f>MATCH(HistKey,ListKeys,0)</f>
        <v>2</v>
      </c>
    </row>
    <row r="45" spans="2:12" ht="15.75" x14ac:dyDescent="0.5">
      <c r="B45" s="9" t="s">
        <v>156</v>
      </c>
    </row>
    <row r="46" spans="2:12" x14ac:dyDescent="0.45">
      <c r="B46" s="8" t="s">
        <v>28</v>
      </c>
      <c r="C46" s="8" t="s">
        <v>157</v>
      </c>
      <c r="D46" s="8" t="s">
        <v>16</v>
      </c>
      <c r="E46" s="8" t="s">
        <v>158</v>
      </c>
      <c r="F46" s="8" t="s">
        <v>159</v>
      </c>
      <c r="G46" s="8" t="s">
        <v>160</v>
      </c>
      <c r="H46" s="8" t="s">
        <v>161</v>
      </c>
      <c r="I46" s="8" t="s">
        <v>31</v>
      </c>
      <c r="J46" s="8"/>
      <c r="K46" s="8"/>
      <c r="L46" s="8" t="s">
        <v>162</v>
      </c>
    </row>
    <row r="47" spans="2:12" x14ac:dyDescent="0.45">
      <c r="B47" t="s">
        <v>163</v>
      </c>
      <c r="C47" t="s">
        <v>164</v>
      </c>
      <c r="D47" s="18">
        <v>0.1</v>
      </c>
      <c r="E47" s="18">
        <v>7.0000000000000007E-2</v>
      </c>
      <c r="F47" s="18">
        <v>0.13</v>
      </c>
      <c r="G47" s="19"/>
      <c r="H47" s="6">
        <f t="shared" ref="H47:H58" si="0">IF(G47="",D47,G47)</f>
        <v>0.1</v>
      </c>
      <c r="I47" t="s">
        <v>55</v>
      </c>
      <c r="L47" s="11" t="s">
        <v>165</v>
      </c>
    </row>
    <row r="48" spans="2:12" x14ac:dyDescent="0.45">
      <c r="B48" t="s">
        <v>166</v>
      </c>
      <c r="C48" t="s">
        <v>167</v>
      </c>
      <c r="D48" s="18">
        <v>0.3</v>
      </c>
      <c r="E48" s="18">
        <v>0.15</v>
      </c>
      <c r="F48" s="18">
        <v>0.5</v>
      </c>
      <c r="G48" s="19"/>
      <c r="H48" s="6">
        <f t="shared" si="0"/>
        <v>0.3</v>
      </c>
      <c r="I48" t="s">
        <v>55</v>
      </c>
      <c r="L48" s="11" t="s">
        <v>168</v>
      </c>
    </row>
    <row r="49" spans="2:12" x14ac:dyDescent="0.45">
      <c r="B49" t="s">
        <v>169</v>
      </c>
      <c r="C49" t="s">
        <v>170</v>
      </c>
      <c r="D49" s="18">
        <v>0.6</v>
      </c>
      <c r="E49" s="18">
        <v>0.4</v>
      </c>
      <c r="F49" s="18">
        <v>0.8</v>
      </c>
      <c r="G49" s="19"/>
      <c r="H49" s="6">
        <f t="shared" si="0"/>
        <v>0.6</v>
      </c>
      <c r="I49" t="s">
        <v>55</v>
      </c>
      <c r="L49" s="11" t="s">
        <v>171</v>
      </c>
    </row>
    <row r="50" spans="2:12" x14ac:dyDescent="0.45">
      <c r="B50" t="s">
        <v>172</v>
      </c>
      <c r="C50" t="s">
        <v>173</v>
      </c>
      <c r="D50" s="20">
        <v>1</v>
      </c>
      <c r="E50" s="20">
        <v>0.6</v>
      </c>
      <c r="F50" s="20">
        <v>1.5</v>
      </c>
      <c r="G50" s="21"/>
      <c r="H50" s="22">
        <f t="shared" si="0"/>
        <v>1</v>
      </c>
      <c r="I50" t="s">
        <v>174</v>
      </c>
      <c r="L50" s="11" t="s">
        <v>175</v>
      </c>
    </row>
    <row r="51" spans="2:12" x14ac:dyDescent="0.45">
      <c r="B51" t="s">
        <v>176</v>
      </c>
      <c r="C51" t="s">
        <v>177</v>
      </c>
      <c r="D51" s="23">
        <v>4</v>
      </c>
      <c r="E51" s="23">
        <v>2.5</v>
      </c>
      <c r="F51" s="23">
        <v>6</v>
      </c>
      <c r="G51" s="24"/>
      <c r="H51" s="25">
        <f t="shared" si="0"/>
        <v>4</v>
      </c>
      <c r="I51" t="s">
        <v>178</v>
      </c>
      <c r="L51" s="11" t="s">
        <v>179</v>
      </c>
    </row>
    <row r="52" spans="2:12" x14ac:dyDescent="0.45">
      <c r="B52" t="s">
        <v>180</v>
      </c>
      <c r="C52" t="s">
        <v>181</v>
      </c>
      <c r="D52" s="18">
        <v>0.4</v>
      </c>
      <c r="E52" s="18">
        <v>0.3</v>
      </c>
      <c r="F52" s="18">
        <v>0.55000000000000004</v>
      </c>
      <c r="G52" s="19"/>
      <c r="H52" s="6">
        <f t="shared" si="0"/>
        <v>0.4</v>
      </c>
      <c r="I52" t="s">
        <v>55</v>
      </c>
      <c r="L52" s="11" t="s">
        <v>182</v>
      </c>
    </row>
    <row r="53" spans="2:12" x14ac:dyDescent="0.45">
      <c r="B53" t="s">
        <v>183</v>
      </c>
      <c r="C53" t="s">
        <v>184</v>
      </c>
      <c r="D53" s="17">
        <v>3</v>
      </c>
      <c r="E53" s="17">
        <v>2</v>
      </c>
      <c r="F53" s="17">
        <v>5</v>
      </c>
      <c r="G53" s="26"/>
      <c r="H53" s="4">
        <f t="shared" si="0"/>
        <v>3</v>
      </c>
      <c r="I53" t="s">
        <v>46</v>
      </c>
      <c r="L53" s="11" t="s">
        <v>185</v>
      </c>
    </row>
    <row r="54" spans="2:12" x14ac:dyDescent="0.45">
      <c r="B54" t="s">
        <v>186</v>
      </c>
      <c r="C54" t="s">
        <v>187</v>
      </c>
      <c r="D54" s="18">
        <v>0.8</v>
      </c>
      <c r="E54" s="18">
        <v>0.5</v>
      </c>
      <c r="F54" s="18">
        <v>0.95</v>
      </c>
      <c r="G54" s="19"/>
      <c r="H54" s="6">
        <f t="shared" si="0"/>
        <v>0.8</v>
      </c>
      <c r="I54" t="s">
        <v>55</v>
      </c>
      <c r="L54" s="11" t="s">
        <v>188</v>
      </c>
    </row>
    <row r="55" spans="2:12" x14ac:dyDescent="0.45">
      <c r="B55" t="s">
        <v>189</v>
      </c>
      <c r="C55" t="s">
        <v>190</v>
      </c>
      <c r="D55" s="17">
        <v>1500</v>
      </c>
      <c r="E55" s="17">
        <v>800</v>
      </c>
      <c r="F55" s="17">
        <v>3000</v>
      </c>
      <c r="G55" s="26"/>
      <c r="H55" s="4">
        <f t="shared" si="0"/>
        <v>1500</v>
      </c>
      <c r="I55" t="s">
        <v>46</v>
      </c>
      <c r="L55" s="11" t="s">
        <v>191</v>
      </c>
    </row>
    <row r="56" spans="2:12" x14ac:dyDescent="0.45">
      <c r="B56" t="s">
        <v>192</v>
      </c>
      <c r="C56" t="s">
        <v>193</v>
      </c>
      <c r="D56" s="18">
        <v>1</v>
      </c>
      <c r="E56" s="18">
        <v>0.6</v>
      </c>
      <c r="F56" s="18">
        <v>1</v>
      </c>
      <c r="G56" s="19"/>
      <c r="H56" s="6">
        <f t="shared" si="0"/>
        <v>1</v>
      </c>
      <c r="I56" t="s">
        <v>55</v>
      </c>
      <c r="L56" s="11" t="s">
        <v>194</v>
      </c>
    </row>
    <row r="57" spans="2:12" x14ac:dyDescent="0.45">
      <c r="B57" t="s">
        <v>195</v>
      </c>
      <c r="C57" t="s">
        <v>196</v>
      </c>
      <c r="D57" s="27">
        <v>2.5000000000000001E-3</v>
      </c>
      <c r="E57" s="27">
        <v>0</v>
      </c>
      <c r="F57" s="27">
        <v>5.0000000000000001E-3</v>
      </c>
      <c r="G57" s="28"/>
      <c r="H57" s="5">
        <f t="shared" si="0"/>
        <v>2.5000000000000001E-3</v>
      </c>
      <c r="I57" t="s">
        <v>197</v>
      </c>
      <c r="L57" s="11" t="s">
        <v>198</v>
      </c>
    </row>
    <row r="58" spans="2:12" x14ac:dyDescent="0.45">
      <c r="B58" t="s">
        <v>199</v>
      </c>
      <c r="C58" t="s">
        <v>200</v>
      </c>
      <c r="D58" s="20">
        <v>0.5</v>
      </c>
      <c r="E58" s="20">
        <v>0.4</v>
      </c>
      <c r="F58" s="20">
        <v>0.6</v>
      </c>
      <c r="G58" s="21"/>
      <c r="H58" s="22">
        <f t="shared" si="0"/>
        <v>0.5</v>
      </c>
      <c r="I58" t="s">
        <v>174</v>
      </c>
      <c r="L58" s="11" t="s">
        <v>201</v>
      </c>
    </row>
    <row r="60" spans="2:12" ht="15.75" x14ac:dyDescent="0.5">
      <c r="B60" s="9" t="s">
        <v>202</v>
      </c>
    </row>
    <row r="61" spans="2:12" ht="28.5" x14ac:dyDescent="0.45">
      <c r="B61" s="8" t="s">
        <v>28</v>
      </c>
      <c r="C61" s="8" t="s">
        <v>203</v>
      </c>
      <c r="D61" s="8" t="s">
        <v>204</v>
      </c>
      <c r="E61" s="8" t="s">
        <v>205</v>
      </c>
      <c r="F61" s="8"/>
      <c r="G61" s="8"/>
      <c r="H61" s="8"/>
      <c r="I61" s="8"/>
      <c r="J61" s="8"/>
      <c r="K61" s="8"/>
      <c r="L61" s="8" t="s">
        <v>206</v>
      </c>
    </row>
    <row r="62" spans="2:12" x14ac:dyDescent="0.45">
      <c r="B62" t="s">
        <v>207</v>
      </c>
      <c r="C62" t="s">
        <v>208</v>
      </c>
      <c r="D62" s="18">
        <v>0.5</v>
      </c>
      <c r="E62" s="17">
        <v>2</v>
      </c>
      <c r="L62" s="11" t="s">
        <v>209</v>
      </c>
    </row>
    <row r="63" spans="2:12" x14ac:dyDescent="0.45">
      <c r="B63" t="s">
        <v>210</v>
      </c>
      <c r="C63" t="s">
        <v>211</v>
      </c>
      <c r="D63" s="18">
        <v>0.35</v>
      </c>
      <c r="E63" s="17">
        <v>6</v>
      </c>
      <c r="L63" s="11" t="s">
        <v>212</v>
      </c>
    </row>
    <row r="64" spans="2:12" x14ac:dyDescent="0.45">
      <c r="B64" t="s">
        <v>213</v>
      </c>
      <c r="C64" t="s">
        <v>214</v>
      </c>
      <c r="D64" s="18">
        <v>0.15</v>
      </c>
      <c r="E64" s="17">
        <v>20</v>
      </c>
      <c r="L64" s="11" t="s">
        <v>215</v>
      </c>
    </row>
    <row r="66" spans="2:12" ht="15.75" x14ac:dyDescent="0.5">
      <c r="B66" s="9" t="s">
        <v>216</v>
      </c>
    </row>
    <row r="67" spans="2:12" x14ac:dyDescent="0.45">
      <c r="B67" s="8" t="s">
        <v>217</v>
      </c>
      <c r="C67" s="8" t="s">
        <v>157</v>
      </c>
      <c r="D67" s="8" t="s">
        <v>15</v>
      </c>
      <c r="E67" s="8" t="s">
        <v>16</v>
      </c>
      <c r="F67" s="8" t="s">
        <v>17</v>
      </c>
      <c r="G67" s="8"/>
      <c r="H67" s="8"/>
      <c r="I67" s="8"/>
      <c r="J67" s="8"/>
      <c r="K67" s="8"/>
      <c r="L67" s="8" t="s">
        <v>206</v>
      </c>
    </row>
    <row r="68" spans="2:12" x14ac:dyDescent="0.45">
      <c r="B68" t="s">
        <v>166</v>
      </c>
      <c r="C68" t="s">
        <v>167</v>
      </c>
      <c r="D68" s="18">
        <v>0.45</v>
      </c>
      <c r="E68" s="6">
        <f>D_adoptSuper</f>
        <v>0.3</v>
      </c>
      <c r="F68" s="18">
        <v>0.2</v>
      </c>
      <c r="L68" s="11" t="s">
        <v>218</v>
      </c>
    </row>
    <row r="69" spans="2:12" x14ac:dyDescent="0.45">
      <c r="B69" t="s">
        <v>172</v>
      </c>
      <c r="C69" t="s">
        <v>173</v>
      </c>
      <c r="D69" s="20">
        <v>1.3</v>
      </c>
      <c r="E69" s="22">
        <f>D_callsScale</f>
        <v>1</v>
      </c>
      <c r="F69" s="20">
        <v>0.8</v>
      </c>
      <c r="L69" s="11" t="s">
        <v>218</v>
      </c>
    </row>
    <row r="70" spans="2:12" x14ac:dyDescent="0.45">
      <c r="B70" t="s">
        <v>186</v>
      </c>
      <c r="C70" t="s">
        <v>187</v>
      </c>
      <c r="D70" s="18">
        <v>0.65</v>
      </c>
      <c r="E70" s="6">
        <f>D_c</f>
        <v>0.8</v>
      </c>
      <c r="F70" s="18">
        <v>0.9</v>
      </c>
      <c r="L70" s="11" t="s">
        <v>218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1"/>
  <sheetViews>
    <sheetView showGridLines="0" workbookViewId="0"/>
  </sheetViews>
  <sheetFormatPr defaultRowHeight="14.25" x14ac:dyDescent="0.45"/>
  <cols>
    <col min="1" max="1" width="2" customWidth="1"/>
    <col min="2" max="2" width="10" customWidth="1"/>
    <col min="3" max="4" width="14" customWidth="1"/>
    <col min="5" max="6" width="10" customWidth="1"/>
    <col min="7" max="7" width="9" customWidth="1"/>
    <col min="8" max="8" width="14" customWidth="1"/>
    <col min="9" max="10" width="13" customWidth="1"/>
    <col min="11" max="12" width="10" customWidth="1"/>
    <col min="13" max="13" width="26" customWidth="1"/>
    <col min="14" max="14" width="110" customWidth="1"/>
  </cols>
  <sheetData>
    <row r="1" spans="2:14" ht="18" x14ac:dyDescent="0.55000000000000004">
      <c r="B1" s="1" t="s">
        <v>219</v>
      </c>
    </row>
    <row r="2" spans="2:14" x14ac:dyDescent="0.45">
      <c r="B2" s="2" t="s">
        <v>220</v>
      </c>
    </row>
    <row r="4" spans="2:14" ht="57" x14ac:dyDescent="0.45">
      <c r="B4" s="8" t="s">
        <v>221</v>
      </c>
      <c r="C4" s="8" t="s">
        <v>222</v>
      </c>
      <c r="D4" s="8" t="s">
        <v>223</v>
      </c>
      <c r="E4" s="8" t="s">
        <v>224</v>
      </c>
      <c r="F4" s="8" t="s">
        <v>225</v>
      </c>
      <c r="G4" s="8" t="s">
        <v>226</v>
      </c>
      <c r="H4" s="8" t="s">
        <v>227</v>
      </c>
      <c r="I4" s="8" t="s">
        <v>228</v>
      </c>
      <c r="J4" s="8" t="s">
        <v>229</v>
      </c>
      <c r="K4" s="8" t="s">
        <v>230</v>
      </c>
      <c r="L4" s="8" t="s">
        <v>231</v>
      </c>
      <c r="M4" s="8" t="s">
        <v>32</v>
      </c>
      <c r="N4" s="8" t="s">
        <v>232</v>
      </c>
    </row>
    <row r="5" spans="2:14" x14ac:dyDescent="0.45">
      <c r="B5" t="s">
        <v>233</v>
      </c>
      <c r="I5" s="12">
        <v>6600000</v>
      </c>
      <c r="N5" s="11" t="s">
        <v>234</v>
      </c>
    </row>
    <row r="6" spans="2:14" x14ac:dyDescent="0.45">
      <c r="B6" t="s">
        <v>235</v>
      </c>
      <c r="C6" s="29">
        <v>167553000</v>
      </c>
      <c r="D6" s="29">
        <v>45191000</v>
      </c>
      <c r="E6" s="5">
        <f t="shared" ref="E6:E15" si="0">1-D6/C6</f>
        <v>0.73028832667872257</v>
      </c>
      <c r="F6" s="16">
        <v>0.73</v>
      </c>
      <c r="G6" s="5">
        <f t="shared" ref="G6:G15" si="1">E6-F6</f>
        <v>2.8832667872258355E-4</v>
      </c>
      <c r="H6" s="29">
        <v>131688000</v>
      </c>
      <c r="I6" s="12">
        <v>7400000</v>
      </c>
      <c r="J6" s="4">
        <f t="shared" ref="J6:J15" si="2">(I5+I6)/2</f>
        <v>7000000</v>
      </c>
      <c r="K6" s="30">
        <f t="shared" ref="K6:K15" si="3">H6/J6/3</f>
        <v>6.2708571428571425</v>
      </c>
      <c r="L6" s="6"/>
      <c r="M6" t="s">
        <v>69</v>
      </c>
      <c r="N6" s="11" t="s">
        <v>236</v>
      </c>
    </row>
    <row r="7" spans="2:14" x14ac:dyDescent="0.45">
      <c r="B7" t="s">
        <v>237</v>
      </c>
      <c r="C7" s="29">
        <v>178327000</v>
      </c>
      <c r="D7" s="29">
        <v>47349000</v>
      </c>
      <c r="E7" s="5">
        <f t="shared" si="0"/>
        <v>0.73448215917948489</v>
      </c>
      <c r="F7" s="16">
        <v>0.7340000000000001</v>
      </c>
      <c r="G7" s="5">
        <f t="shared" si="1"/>
        <v>4.8215917948479792E-4</v>
      </c>
      <c r="H7" s="29">
        <v>143909000</v>
      </c>
      <c r="I7" s="12">
        <v>8000000</v>
      </c>
      <c r="J7" s="4">
        <f t="shared" si="2"/>
        <v>7700000</v>
      </c>
      <c r="K7" s="30">
        <f t="shared" si="3"/>
        <v>6.2298268398268393</v>
      </c>
      <c r="L7" s="6"/>
      <c r="M7" t="s">
        <v>238</v>
      </c>
      <c r="N7" s="11" t="s">
        <v>239</v>
      </c>
    </row>
    <row r="8" spans="2:14" x14ac:dyDescent="0.45">
      <c r="B8" t="s">
        <v>240</v>
      </c>
      <c r="C8" s="29">
        <v>192594000</v>
      </c>
      <c r="D8" s="29">
        <v>52180000</v>
      </c>
      <c r="E8" s="5">
        <f t="shared" si="0"/>
        <v>0.72906736450772092</v>
      </c>
      <c r="F8" s="16">
        <v>0.72900000000000009</v>
      </c>
      <c r="G8" s="5">
        <f t="shared" si="1"/>
        <v>6.7364507720824029E-5</v>
      </c>
      <c r="H8" s="29">
        <v>157617000</v>
      </c>
      <c r="I8" s="12">
        <v>8600000</v>
      </c>
      <c r="J8" s="4">
        <f t="shared" si="2"/>
        <v>8300000</v>
      </c>
      <c r="K8" s="30">
        <f t="shared" si="3"/>
        <v>6.3299999999999992</v>
      </c>
      <c r="L8" s="6"/>
      <c r="M8" t="s">
        <v>241</v>
      </c>
      <c r="N8" s="11" t="s">
        <v>242</v>
      </c>
    </row>
    <row r="9" spans="2:14" x14ac:dyDescent="0.45">
      <c r="B9" t="s">
        <v>243</v>
      </c>
      <c r="C9" s="29">
        <v>209550000</v>
      </c>
      <c r="D9" s="29">
        <v>58925000</v>
      </c>
      <c r="E9" s="5">
        <f t="shared" si="0"/>
        <v>0.71880219518014798</v>
      </c>
      <c r="F9" s="16">
        <v>0.71900000000000008</v>
      </c>
      <c r="G9" s="5">
        <f t="shared" si="1"/>
        <v>-1.9780481985209875E-4</v>
      </c>
      <c r="H9" s="29">
        <v>174317000</v>
      </c>
      <c r="I9" s="12">
        <v>9500000</v>
      </c>
      <c r="J9" s="4">
        <f t="shared" si="2"/>
        <v>9050000</v>
      </c>
      <c r="K9" s="30">
        <f t="shared" si="3"/>
        <v>6.4205156537753219</v>
      </c>
      <c r="L9" s="6"/>
      <c r="M9" t="s">
        <v>74</v>
      </c>
      <c r="N9" s="11" t="s">
        <v>244</v>
      </c>
    </row>
    <row r="10" spans="2:14" x14ac:dyDescent="0.45">
      <c r="B10" t="s">
        <v>245</v>
      </c>
      <c r="C10" s="29">
        <v>230743000</v>
      </c>
      <c r="D10" s="29">
        <v>66647000</v>
      </c>
      <c r="E10" s="5">
        <f t="shared" si="0"/>
        <v>0.71116350225142255</v>
      </c>
      <c r="F10" s="16">
        <v>0.71099999999999997</v>
      </c>
      <c r="G10" s="5">
        <f t="shared" si="1"/>
        <v>1.6350225142258701E-4</v>
      </c>
      <c r="H10" s="29">
        <v>190987000</v>
      </c>
      <c r="I10" s="12">
        <v>10300000</v>
      </c>
      <c r="J10" s="4">
        <f t="shared" si="2"/>
        <v>9900000</v>
      </c>
      <c r="K10" s="30">
        <f t="shared" si="3"/>
        <v>6.4305387205387206</v>
      </c>
      <c r="L10" s="6">
        <f t="shared" ref="L10:L15" si="4">K10/K6-1</f>
        <v>2.5464075172476841E-2</v>
      </c>
      <c r="M10" t="s">
        <v>61</v>
      </c>
      <c r="N10" s="11" t="s">
        <v>246</v>
      </c>
    </row>
    <row r="11" spans="2:14" x14ac:dyDescent="0.45">
      <c r="B11" t="s">
        <v>247</v>
      </c>
      <c r="C11" s="29">
        <v>252265000</v>
      </c>
      <c r="D11" s="29">
        <v>69684000</v>
      </c>
      <c r="E11" s="5">
        <f t="shared" si="0"/>
        <v>0.72376667393415661</v>
      </c>
      <c r="F11" s="16">
        <v>0.72400000000000009</v>
      </c>
      <c r="G11" s="5">
        <f t="shared" si="1"/>
        <v>-2.3332606584347548E-4</v>
      </c>
      <c r="H11" s="29">
        <v>210678000</v>
      </c>
      <c r="I11" s="12">
        <v>10900000</v>
      </c>
      <c r="J11" s="4">
        <f t="shared" si="2"/>
        <v>10600000</v>
      </c>
      <c r="K11" s="30">
        <f t="shared" si="3"/>
        <v>6.6250943396226418</v>
      </c>
      <c r="L11" s="6">
        <f t="shared" si="4"/>
        <v>6.3447590110994101E-2</v>
      </c>
      <c r="M11" t="s">
        <v>248</v>
      </c>
      <c r="N11" s="11" t="s">
        <v>249</v>
      </c>
    </row>
    <row r="12" spans="2:14" x14ac:dyDescent="0.45">
      <c r="B12" t="s">
        <v>250</v>
      </c>
      <c r="C12" s="29">
        <v>271713000</v>
      </c>
      <c r="D12" s="29">
        <v>74802000</v>
      </c>
      <c r="E12" s="5">
        <f t="shared" si="0"/>
        <v>0.72470216736041337</v>
      </c>
      <c r="F12" s="16">
        <v>0.72499999999999998</v>
      </c>
      <c r="G12" s="5">
        <f t="shared" si="1"/>
        <v>-2.9783263958660378E-4</v>
      </c>
      <c r="H12" s="29">
        <v>229491000</v>
      </c>
      <c r="I12" s="12">
        <v>11500000</v>
      </c>
      <c r="J12" s="4">
        <f t="shared" si="2"/>
        <v>11200000</v>
      </c>
      <c r="K12" s="30">
        <f t="shared" si="3"/>
        <v>6.8300892857142861</v>
      </c>
      <c r="L12" s="6">
        <f t="shared" si="4"/>
        <v>7.9003046716316971E-2</v>
      </c>
      <c r="M12" t="s">
        <v>251</v>
      </c>
      <c r="N12" s="11" t="s">
        <v>252</v>
      </c>
    </row>
    <row r="13" spans="2:14" x14ac:dyDescent="0.45">
      <c r="B13" t="s">
        <v>253</v>
      </c>
      <c r="C13" s="29">
        <v>282868000</v>
      </c>
      <c r="D13" s="29">
        <v>76999000</v>
      </c>
      <c r="E13" s="5">
        <f t="shared" si="0"/>
        <v>0.72779176152834535</v>
      </c>
      <c r="F13" s="16">
        <v>0.72799999999999998</v>
      </c>
      <c r="G13" s="5">
        <f t="shared" si="1"/>
        <v>-2.082384716546315E-4</v>
      </c>
      <c r="H13" s="29">
        <v>242286000</v>
      </c>
      <c r="I13" s="12">
        <v>12200000</v>
      </c>
      <c r="J13" s="4">
        <f t="shared" si="2"/>
        <v>11850000</v>
      </c>
      <c r="K13" s="30">
        <f t="shared" si="3"/>
        <v>6.8153586497890295</v>
      </c>
      <c r="L13" s="6">
        <f t="shared" si="4"/>
        <v>6.1497084861328322E-2</v>
      </c>
      <c r="M13" t="s">
        <v>56</v>
      </c>
      <c r="N13" s="11" t="s">
        <v>254</v>
      </c>
    </row>
    <row r="14" spans="2:14" x14ac:dyDescent="0.45">
      <c r="B14" t="s">
        <v>255</v>
      </c>
      <c r="C14" s="29">
        <v>291967000</v>
      </c>
      <c r="D14" s="29">
        <v>78871000</v>
      </c>
      <c r="E14" s="5">
        <f t="shared" si="0"/>
        <v>0.72986330646956676</v>
      </c>
      <c r="F14" s="16">
        <v>0.73</v>
      </c>
      <c r="G14" s="5">
        <f t="shared" si="1"/>
        <v>-1.3669353043321841E-4</v>
      </c>
      <c r="H14" s="29">
        <v>250908000</v>
      </c>
      <c r="I14" s="12">
        <v>12500000</v>
      </c>
      <c r="J14" s="4">
        <f t="shared" si="2"/>
        <v>12350000</v>
      </c>
      <c r="K14" s="30">
        <f t="shared" si="3"/>
        <v>6.772145748987854</v>
      </c>
      <c r="L14" s="6">
        <f t="shared" si="4"/>
        <v>5.3122614339925045E-2</v>
      </c>
      <c r="M14" t="s">
        <v>47</v>
      </c>
      <c r="N14" s="11" t="s">
        <v>256</v>
      </c>
    </row>
    <row r="15" spans="2:14" x14ac:dyDescent="0.45">
      <c r="B15" t="s">
        <v>257</v>
      </c>
      <c r="C15" s="29">
        <v>298454000</v>
      </c>
      <c r="D15" s="29">
        <v>81714000</v>
      </c>
      <c r="E15" s="5">
        <f t="shared" si="0"/>
        <v>0.72620906404337016</v>
      </c>
      <c r="F15" s="16">
        <v>0.72599999999999998</v>
      </c>
      <c r="G15" s="5">
        <f t="shared" si="1"/>
        <v>2.0906404337017737E-4</v>
      </c>
      <c r="H15" s="29">
        <v>258035000</v>
      </c>
      <c r="I15" s="12">
        <v>12700000</v>
      </c>
      <c r="J15" s="4">
        <f t="shared" si="2"/>
        <v>12600000</v>
      </c>
      <c r="K15" s="30">
        <f t="shared" si="3"/>
        <v>6.8263227513227518</v>
      </c>
      <c r="L15" s="6">
        <f t="shared" si="4"/>
        <v>3.0373667359968826E-2</v>
      </c>
      <c r="M15" t="s">
        <v>38</v>
      </c>
      <c r="N15" s="11" t="s">
        <v>258</v>
      </c>
    </row>
    <row r="18" spans="2:14" ht="15.75" x14ac:dyDescent="0.5">
      <c r="B18" s="9" t="s">
        <v>259</v>
      </c>
    </row>
    <row r="19" spans="2:14" x14ac:dyDescent="0.45">
      <c r="B19" s="8" t="s">
        <v>221</v>
      </c>
      <c r="C19" s="8" t="s">
        <v>225</v>
      </c>
      <c r="D19" s="8" t="s">
        <v>260</v>
      </c>
      <c r="E19" s="8" t="s">
        <v>226</v>
      </c>
      <c r="F19" s="8"/>
      <c r="G19" s="8"/>
      <c r="H19" s="8"/>
      <c r="I19" s="8"/>
      <c r="J19" s="8"/>
      <c r="K19" s="8"/>
      <c r="L19" s="8"/>
      <c r="M19" s="8" t="s">
        <v>32</v>
      </c>
      <c r="N19" s="8" t="s">
        <v>261</v>
      </c>
    </row>
    <row r="20" spans="2:14" x14ac:dyDescent="0.45">
      <c r="B20" t="s">
        <v>247</v>
      </c>
      <c r="C20" s="16">
        <v>0.06</v>
      </c>
      <c r="D20" s="6">
        <f>L11</f>
        <v>6.3447590110994101E-2</v>
      </c>
      <c r="E20" s="6">
        <f>D20-C20</f>
        <v>3.4475901109941032E-3</v>
      </c>
      <c r="M20" t="s">
        <v>262</v>
      </c>
      <c r="N20" s="11" t="s">
        <v>263</v>
      </c>
    </row>
    <row r="21" spans="2:14" x14ac:dyDescent="0.45">
      <c r="B21" t="s">
        <v>250</v>
      </c>
      <c r="C21" s="16">
        <v>7.0000000000000007E-2</v>
      </c>
      <c r="D21" s="6">
        <f>L12</f>
        <v>7.9003046716316971E-2</v>
      </c>
      <c r="E21" s="6">
        <f>D21-C21</f>
        <v>9.0030467163169647E-3</v>
      </c>
      <c r="M21" t="s">
        <v>264</v>
      </c>
      <c r="N21" s="11" t="s">
        <v>265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26"/>
  <sheetViews>
    <sheetView showGridLines="0" workbookViewId="0"/>
  </sheetViews>
  <sheetFormatPr defaultRowHeight="14.25" x14ac:dyDescent="0.45"/>
  <cols>
    <col min="1" max="1" width="2" customWidth="1"/>
    <col min="2" max="2" width="46" customWidth="1"/>
    <col min="3" max="3" width="4" customWidth="1"/>
    <col min="4" max="9" width="17" customWidth="1"/>
  </cols>
  <sheetData>
    <row r="1" spans="2:9" ht="18" x14ac:dyDescent="0.55000000000000004">
      <c r="B1" s="1" t="s">
        <v>266</v>
      </c>
    </row>
    <row r="2" spans="2:9" x14ac:dyDescent="0.45">
      <c r="B2" s="2" t="s">
        <v>267</v>
      </c>
    </row>
    <row r="4" spans="2:9" ht="44" customHeight="1" x14ac:dyDescent="0.45">
      <c r="B4" s="8"/>
      <c r="C4" s="8"/>
      <c r="D4" s="8" t="s">
        <v>91</v>
      </c>
      <c r="E4" s="8" t="s">
        <v>96</v>
      </c>
      <c r="F4" s="8" t="s">
        <v>99</v>
      </c>
      <c r="G4" s="8" t="s">
        <v>102</v>
      </c>
      <c r="H4" s="8" t="s">
        <v>107</v>
      </c>
      <c r="I4" s="8" t="s">
        <v>110</v>
      </c>
    </row>
    <row r="5" spans="2:9" x14ac:dyDescent="0.45">
      <c r="B5" t="s">
        <v>268</v>
      </c>
      <c r="D5" s="31" t="s">
        <v>90</v>
      </c>
      <c r="E5" s="31" t="s">
        <v>95</v>
      </c>
      <c r="F5" s="31" t="s">
        <v>98</v>
      </c>
      <c r="G5" s="31" t="s">
        <v>101</v>
      </c>
      <c r="H5" s="31" t="s">
        <v>106</v>
      </c>
      <c r="I5" s="31" t="s">
        <v>109</v>
      </c>
    </row>
    <row r="6" spans="2:9" x14ac:dyDescent="0.45">
      <c r="B6" t="s">
        <v>269</v>
      </c>
      <c r="D6" s="4">
        <f t="shared" ref="D6:I6" si="0">MATCH(D5,ListKeys,0)</f>
        <v>1</v>
      </c>
      <c r="E6" s="4">
        <f t="shared" si="0"/>
        <v>2</v>
      </c>
      <c r="F6" s="4">
        <f t="shared" si="0"/>
        <v>3</v>
      </c>
      <c r="G6" s="4">
        <f t="shared" si="0"/>
        <v>4</v>
      </c>
      <c r="H6" s="4">
        <f t="shared" si="0"/>
        <v>5</v>
      </c>
      <c r="I6" s="4">
        <f t="shared" si="0"/>
        <v>6</v>
      </c>
    </row>
    <row r="8" spans="2:9" x14ac:dyDescent="0.45">
      <c r="B8" t="s">
        <v>270</v>
      </c>
      <c r="D8" s="25">
        <f t="shared" ref="D8:I8" si="1">D_r*D_L</f>
        <v>12</v>
      </c>
      <c r="E8" s="25">
        <f t="shared" si="1"/>
        <v>12</v>
      </c>
      <c r="F8" s="25">
        <f t="shared" si="1"/>
        <v>12</v>
      </c>
      <c r="G8" s="25">
        <f t="shared" si="1"/>
        <v>12</v>
      </c>
      <c r="H8" s="25">
        <f t="shared" si="1"/>
        <v>12</v>
      </c>
      <c r="I8" s="25">
        <f t="shared" si="1"/>
        <v>12</v>
      </c>
    </row>
    <row r="9" spans="2:9" x14ac:dyDescent="0.45">
      <c r="B9" t="s">
        <v>271</v>
      </c>
      <c r="D9" s="4">
        <f t="shared" ref="D9:I9" si="2">D_L*D_s*TokIn</f>
        <v>960</v>
      </c>
      <c r="E9" s="4">
        <f t="shared" si="2"/>
        <v>960</v>
      </c>
      <c r="F9" s="4">
        <f t="shared" si="2"/>
        <v>960</v>
      </c>
      <c r="G9" s="4">
        <f t="shared" si="2"/>
        <v>960</v>
      </c>
      <c r="H9" s="4">
        <f t="shared" si="2"/>
        <v>960</v>
      </c>
      <c r="I9" s="4">
        <f t="shared" si="2"/>
        <v>960</v>
      </c>
    </row>
    <row r="10" spans="2:9" x14ac:dyDescent="0.45">
      <c r="B10" t="s">
        <v>272</v>
      </c>
      <c r="D10" s="4">
        <f t="shared" ref="D10:I10" si="3">D_L*(1-D_s)*TokOut</f>
        <v>2880</v>
      </c>
      <c r="E10" s="4">
        <f t="shared" si="3"/>
        <v>2880</v>
      </c>
      <c r="F10" s="4">
        <f t="shared" si="3"/>
        <v>2880</v>
      </c>
      <c r="G10" s="4">
        <f t="shared" si="3"/>
        <v>2880</v>
      </c>
      <c r="H10" s="4">
        <f t="shared" si="3"/>
        <v>2880</v>
      </c>
      <c r="I10" s="4">
        <f t="shared" si="3"/>
        <v>2880</v>
      </c>
    </row>
    <row r="11" spans="2:9" x14ac:dyDescent="0.45">
      <c r="B11" t="s">
        <v>273</v>
      </c>
      <c r="D11" s="4">
        <f t="shared" ref="D11:I11" si="4">(D_s*TokIn+(1-D_s)*TokOut)*D_L*(D8-1)/2</f>
        <v>21120</v>
      </c>
      <c r="E11" s="4">
        <f t="shared" si="4"/>
        <v>21120</v>
      </c>
      <c r="F11" s="4">
        <f t="shared" si="4"/>
        <v>21120</v>
      </c>
      <c r="G11" s="4">
        <f t="shared" si="4"/>
        <v>21120</v>
      </c>
      <c r="H11" s="4">
        <f t="shared" si="4"/>
        <v>21120</v>
      </c>
      <c r="I11" s="4">
        <f t="shared" si="4"/>
        <v>21120</v>
      </c>
    </row>
    <row r="12" spans="2:9" x14ac:dyDescent="0.45">
      <c r="B12" t="s">
        <v>274</v>
      </c>
      <c r="D12" s="4">
        <f t="shared" ref="D12:I12" si="5">D8*D_sysTok</f>
        <v>18000</v>
      </c>
      <c r="E12" s="4">
        <f t="shared" si="5"/>
        <v>18000</v>
      </c>
      <c r="F12" s="4">
        <f t="shared" si="5"/>
        <v>18000</v>
      </c>
      <c r="G12" s="4">
        <f t="shared" si="5"/>
        <v>18000</v>
      </c>
      <c r="H12" s="4">
        <f t="shared" si="5"/>
        <v>18000</v>
      </c>
      <c r="I12" s="4">
        <f t="shared" si="5"/>
        <v>18000</v>
      </c>
    </row>
    <row r="14" spans="2:9" x14ac:dyDescent="0.45">
      <c r="B14" t="s">
        <v>275</v>
      </c>
      <c r="D14" s="30">
        <f t="shared" ref="D14:I14" si="6">INDEX(ListAudioIn,D6)</f>
        <v>100</v>
      </c>
      <c r="E14" s="30">
        <f t="shared" si="6"/>
        <v>40</v>
      </c>
      <c r="F14" s="30">
        <f t="shared" si="6"/>
        <v>10</v>
      </c>
      <c r="G14" s="30">
        <f t="shared" si="6"/>
        <v>32</v>
      </c>
      <c r="H14" s="30">
        <f t="shared" si="6"/>
        <v>10</v>
      </c>
      <c r="I14" s="30">
        <f t="shared" si="6"/>
        <v>32</v>
      </c>
    </row>
    <row r="15" spans="2:9" x14ac:dyDescent="0.45">
      <c r="B15" t="s">
        <v>276</v>
      </c>
      <c r="D15" s="30">
        <f t="shared" ref="D15:I15" si="7">INDEX(ListAudioCached,D6)</f>
        <v>20</v>
      </c>
      <c r="E15" s="30">
        <f t="shared" si="7"/>
        <v>2.5</v>
      </c>
      <c r="F15" s="30">
        <f t="shared" si="7"/>
        <v>0.3</v>
      </c>
      <c r="G15" s="30">
        <f t="shared" si="7"/>
        <v>0.4</v>
      </c>
      <c r="H15" s="30">
        <f t="shared" si="7"/>
        <v>0.3</v>
      </c>
      <c r="I15" s="30">
        <f t="shared" si="7"/>
        <v>0.4</v>
      </c>
    </row>
    <row r="16" spans="2:9" x14ac:dyDescent="0.45">
      <c r="B16" t="s">
        <v>277</v>
      </c>
      <c r="D16" s="30">
        <f t="shared" ref="D16:I16" si="8">INDEX(ListAudioOut,D6)</f>
        <v>200</v>
      </c>
      <c r="E16" s="30">
        <f t="shared" si="8"/>
        <v>80</v>
      </c>
      <c r="F16" s="30">
        <f t="shared" si="8"/>
        <v>20</v>
      </c>
      <c r="G16" s="30">
        <f t="shared" si="8"/>
        <v>64</v>
      </c>
      <c r="H16" s="30">
        <f t="shared" si="8"/>
        <v>20</v>
      </c>
      <c r="I16" s="30">
        <f t="shared" si="8"/>
        <v>64</v>
      </c>
    </row>
    <row r="17" spans="2:9" x14ac:dyDescent="0.45">
      <c r="B17" t="s">
        <v>278</v>
      </c>
      <c r="D17" s="30">
        <f t="shared" ref="D17:I17" si="9">INDEX(ListTextIn,D6)</f>
        <v>5</v>
      </c>
      <c r="E17" s="30">
        <f t="shared" si="9"/>
        <v>5</v>
      </c>
      <c r="F17" s="30">
        <f t="shared" si="9"/>
        <v>0.6</v>
      </c>
      <c r="G17" s="30">
        <f t="shared" si="9"/>
        <v>4</v>
      </c>
      <c r="H17" s="30">
        <f t="shared" si="9"/>
        <v>0.6</v>
      </c>
      <c r="I17" s="30">
        <f t="shared" si="9"/>
        <v>4</v>
      </c>
    </row>
    <row r="18" spans="2:9" x14ac:dyDescent="0.45">
      <c r="B18" t="s">
        <v>279</v>
      </c>
      <c r="D18" s="30">
        <f t="shared" ref="D18:I18" si="10">INDEX(ListTextCached,D6)</f>
        <v>2.5</v>
      </c>
      <c r="E18" s="30">
        <f t="shared" si="10"/>
        <v>2.5</v>
      </c>
      <c r="F18" s="30">
        <f t="shared" si="10"/>
        <v>0.3</v>
      </c>
      <c r="G18" s="30">
        <f t="shared" si="10"/>
        <v>0.4</v>
      </c>
      <c r="H18" s="30">
        <f t="shared" si="10"/>
        <v>0.06</v>
      </c>
      <c r="I18" s="30">
        <f t="shared" si="10"/>
        <v>0.4</v>
      </c>
    </row>
    <row r="20" spans="2:9" x14ac:dyDescent="0.45">
      <c r="B20" t="s">
        <v>280</v>
      </c>
      <c r="D20" s="7">
        <f t="shared" ref="D20:I20" si="11">D_realization*D9*D14/1000000</f>
        <v>9.6000000000000002E-2</v>
      </c>
      <c r="E20" s="7">
        <f t="shared" si="11"/>
        <v>3.8399999999999997E-2</v>
      </c>
      <c r="F20" s="7">
        <f t="shared" si="11"/>
        <v>9.5999999999999992E-3</v>
      </c>
      <c r="G20" s="7">
        <f t="shared" si="11"/>
        <v>3.0720000000000001E-2</v>
      </c>
      <c r="H20" s="7">
        <f t="shared" si="11"/>
        <v>9.5999999999999992E-3</v>
      </c>
      <c r="I20" s="7">
        <f t="shared" si="11"/>
        <v>3.0720000000000001E-2</v>
      </c>
    </row>
    <row r="21" spans="2:9" x14ac:dyDescent="0.45">
      <c r="B21" t="s">
        <v>281</v>
      </c>
      <c r="D21" s="7">
        <f t="shared" ref="D21:I21" si="12">D_realization*D10*D16/1000000</f>
        <v>0.57599999999999996</v>
      </c>
      <c r="E21" s="7">
        <f t="shared" si="12"/>
        <v>0.23039999999999999</v>
      </c>
      <c r="F21" s="7">
        <f t="shared" si="12"/>
        <v>5.7599999999999998E-2</v>
      </c>
      <c r="G21" s="7">
        <f t="shared" si="12"/>
        <v>0.18432000000000001</v>
      </c>
      <c r="H21" s="7">
        <f t="shared" si="12"/>
        <v>5.7599999999999998E-2</v>
      </c>
      <c r="I21" s="7">
        <f t="shared" si="12"/>
        <v>0.18432000000000001</v>
      </c>
    </row>
    <row r="22" spans="2:9" x14ac:dyDescent="0.45">
      <c r="B22" t="s">
        <v>282</v>
      </c>
      <c r="D22" s="7">
        <f t="shared" ref="D22:I22" si="13">D_realization*D11*(D_c*D15+(1-D_c)*D14)/1000000</f>
        <v>0.76032</v>
      </c>
      <c r="E22" s="7">
        <f t="shared" si="13"/>
        <v>0.21119999999999997</v>
      </c>
      <c r="F22" s="7">
        <f t="shared" si="13"/>
        <v>4.7308799999999991E-2</v>
      </c>
      <c r="G22" s="7">
        <f t="shared" si="13"/>
        <v>0.14192639999999995</v>
      </c>
      <c r="H22" s="7">
        <f t="shared" si="13"/>
        <v>4.7308799999999991E-2</v>
      </c>
      <c r="I22" s="7">
        <f t="shared" si="13"/>
        <v>0.14192639999999995</v>
      </c>
    </row>
    <row r="23" spans="2:9" x14ac:dyDescent="0.45">
      <c r="B23" t="s">
        <v>283</v>
      </c>
      <c r="D23" s="7">
        <f t="shared" ref="D23:I23" si="14">D_realization*D12*(D_c*D18+(1-D_c)*D17)/1000000</f>
        <v>5.3999999999999999E-2</v>
      </c>
      <c r="E23" s="7">
        <f t="shared" si="14"/>
        <v>5.3999999999999999E-2</v>
      </c>
      <c r="F23" s="7">
        <f t="shared" si="14"/>
        <v>6.4799999999999996E-3</v>
      </c>
      <c r="G23" s="7">
        <f t="shared" si="14"/>
        <v>2.0159999999999997E-2</v>
      </c>
      <c r="H23" s="7">
        <f t="shared" si="14"/>
        <v>3.0239999999999993E-3</v>
      </c>
      <c r="I23" s="7">
        <f t="shared" si="14"/>
        <v>2.0159999999999997E-2</v>
      </c>
    </row>
    <row r="24" spans="2:9" x14ac:dyDescent="0.45">
      <c r="B24" s="3" t="s">
        <v>284</v>
      </c>
      <c r="D24" s="32">
        <f>D20+D21+D22+D23</f>
        <v>1.4863199999999999</v>
      </c>
      <c r="E24" s="32">
        <f t="shared" ref="D24:I24" si="15">E20+E21+E22+E23</f>
        <v>0.53400000000000003</v>
      </c>
      <c r="F24" s="32">
        <f t="shared" si="15"/>
        <v>0.12098879999999999</v>
      </c>
      <c r="G24" s="32">
        <f t="shared" si="15"/>
        <v>0.37712639999999997</v>
      </c>
      <c r="H24" s="32">
        <f t="shared" si="15"/>
        <v>0.11753279999999999</v>
      </c>
      <c r="I24" s="32">
        <f t="shared" si="15"/>
        <v>0.37712639999999997</v>
      </c>
    </row>
    <row r="25" spans="2:9" x14ac:dyDescent="0.45">
      <c r="B25" s="3" t="s">
        <v>285</v>
      </c>
      <c r="D25" s="32">
        <f t="shared" ref="D25:I25" si="16">D24/D_L</f>
        <v>0.37157999999999997</v>
      </c>
      <c r="E25" s="32">
        <f t="shared" si="16"/>
        <v>0.13350000000000001</v>
      </c>
      <c r="F25" s="32">
        <f t="shared" si="16"/>
        <v>3.0247199999999998E-2</v>
      </c>
      <c r="G25" s="32">
        <f t="shared" si="16"/>
        <v>9.4281599999999993E-2</v>
      </c>
      <c r="H25" s="32">
        <f t="shared" si="16"/>
        <v>2.9383199999999998E-2</v>
      </c>
      <c r="I25" s="32">
        <f t="shared" si="16"/>
        <v>9.4281599999999993E-2</v>
      </c>
    </row>
    <row r="26" spans="2:9" x14ac:dyDescent="0.45">
      <c r="B26" t="s">
        <v>286</v>
      </c>
      <c r="D26" s="6">
        <f t="shared" ref="D26:I26" si="17">D22/D24</f>
        <v>0.51154529307282415</v>
      </c>
      <c r="E26" s="6">
        <f t="shared" si="17"/>
        <v>0.39550561797752803</v>
      </c>
      <c r="F26" s="6">
        <f t="shared" si="17"/>
        <v>0.3910180115845433</v>
      </c>
      <c r="G26" s="6">
        <f t="shared" si="17"/>
        <v>0.37633642195295786</v>
      </c>
      <c r="H26" s="6">
        <f t="shared" si="17"/>
        <v>0.40251572327044022</v>
      </c>
      <c r="I26" s="6">
        <f t="shared" si="17"/>
        <v>0.37633642195295786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5"/>
  <sheetViews>
    <sheetView showGridLines="0" workbookViewId="0"/>
  </sheetViews>
  <sheetFormatPr defaultRowHeight="14.25" x14ac:dyDescent="0.45"/>
  <cols>
    <col min="1" max="1" width="2" customWidth="1"/>
    <col min="2" max="2" width="66" customWidth="1"/>
    <col min="3" max="3" width="4" customWidth="1"/>
    <col min="4" max="8" width="16" customWidth="1"/>
    <col min="9" max="9" width="4" customWidth="1"/>
    <col min="10" max="10" width="70" customWidth="1"/>
  </cols>
  <sheetData>
    <row r="1" spans="2:10" ht="18" x14ac:dyDescent="0.55000000000000004">
      <c r="B1" s="1" t="s">
        <v>287</v>
      </c>
    </row>
    <row r="2" spans="2:10" x14ac:dyDescent="0.45">
      <c r="B2" s="2" t="s">
        <v>288</v>
      </c>
    </row>
    <row r="4" spans="2:10" ht="15.75" x14ac:dyDescent="0.5">
      <c r="B4" s="9" t="s">
        <v>16</v>
      </c>
    </row>
    <row r="5" spans="2:10" x14ac:dyDescent="0.45">
      <c r="B5" t="s">
        <v>289</v>
      </c>
      <c r="D5" s="33">
        <f>F_rev</f>
        <v>298454000</v>
      </c>
      <c r="J5" s="11" t="s">
        <v>290</v>
      </c>
    </row>
    <row r="6" spans="2:10" x14ac:dyDescent="0.45">
      <c r="B6" t="s">
        <v>291</v>
      </c>
      <c r="D6" s="4">
        <f>(F_paidQ1+F_paidQ2)/2</f>
        <v>12600000</v>
      </c>
      <c r="J6" s="11" t="s">
        <v>292</v>
      </c>
    </row>
    <row r="7" spans="2:10" x14ac:dyDescent="0.45">
      <c r="B7" t="s">
        <v>293</v>
      </c>
      <c r="D7" s="30">
        <f>F_subRev/PaidAvg/3</f>
        <v>6.8263227513227518</v>
      </c>
      <c r="J7" s="11" t="s">
        <v>294</v>
      </c>
    </row>
    <row r="8" spans="2:10" x14ac:dyDescent="0.45">
      <c r="B8" t="s">
        <v>295</v>
      </c>
      <c r="D8" s="5">
        <f>F_gmQ4</f>
        <v>0.72779176152834535</v>
      </c>
      <c r="J8" s="11" t="s">
        <v>296</v>
      </c>
    </row>
    <row r="9" spans="2:10" x14ac:dyDescent="0.45">
      <c r="B9" t="s">
        <v>141</v>
      </c>
      <c r="D9" s="6">
        <f>Target</f>
        <v>0.71</v>
      </c>
      <c r="J9" s="11" t="s">
        <v>297</v>
      </c>
    </row>
    <row r="10" spans="2:10" x14ac:dyDescent="0.45">
      <c r="B10" t="s">
        <v>298</v>
      </c>
      <c r="D10" s="33">
        <f>(GMb-TargetM)*Rev</f>
        <v>5310022.3951807935</v>
      </c>
      <c r="J10" s="11" t="s">
        <v>299</v>
      </c>
    </row>
    <row r="11" spans="2:10" x14ac:dyDescent="0.45">
      <c r="B11" t="s">
        <v>300</v>
      </c>
      <c r="D11" s="33">
        <f>(GMb-TargetM-D_headroom)*Rev</f>
        <v>4563887.3951807935</v>
      </c>
      <c r="J11" s="11" t="s">
        <v>301</v>
      </c>
    </row>
    <row r="13" spans="2:10" ht="15.75" x14ac:dyDescent="0.5">
      <c r="B13" s="9" t="s">
        <v>302</v>
      </c>
    </row>
    <row r="14" spans="2:10" ht="46.05" customHeight="1" x14ac:dyDescent="0.45">
      <c r="B14" s="8"/>
      <c r="C14" s="8"/>
      <c r="D14" s="8" t="s">
        <v>18</v>
      </c>
      <c r="E14" s="8" t="s">
        <v>19</v>
      </c>
      <c r="F14" s="8" t="s">
        <v>20</v>
      </c>
      <c r="G14" s="8" t="s">
        <v>21</v>
      </c>
      <c r="H14" s="8" t="s">
        <v>22</v>
      </c>
    </row>
    <row r="15" spans="2:10" x14ac:dyDescent="0.45">
      <c r="B15" t="s">
        <v>303</v>
      </c>
      <c r="D15" s="4">
        <f>IdxFlag</f>
        <v>6</v>
      </c>
      <c r="E15" s="4">
        <f>IdxMini</f>
        <v>5</v>
      </c>
      <c r="F15" s="4">
        <f>IdxFlag</f>
        <v>6</v>
      </c>
      <c r="G15" s="4">
        <f>IdxMini</f>
        <v>5</v>
      </c>
      <c r="H15" s="4">
        <f>IdxFlag</f>
        <v>6</v>
      </c>
    </row>
    <row r="16" spans="2:10" x14ac:dyDescent="0.45">
      <c r="B16" t="s">
        <v>304</v>
      </c>
      <c r="D16" s="4">
        <f>NoCap</f>
        <v>1000000</v>
      </c>
      <c r="E16" s="4">
        <f>NoCap</f>
        <v>1000000</v>
      </c>
      <c r="F16" s="4">
        <f>PlanCap</f>
        <v>20</v>
      </c>
      <c r="G16" s="4">
        <f>PlanCap</f>
        <v>20</v>
      </c>
      <c r="H16" s="4">
        <f>NoCap</f>
        <v>1000000</v>
      </c>
    </row>
    <row r="17" spans="2:8" x14ac:dyDescent="0.45">
      <c r="B17" t="s">
        <v>305</v>
      </c>
      <c r="D17" s="6">
        <f>0</f>
        <v>0</v>
      </c>
      <c r="E17" s="6">
        <f>0</f>
        <v>0</v>
      </c>
      <c r="F17" s="6">
        <f>0</f>
        <v>0</v>
      </c>
      <c r="G17" s="6">
        <f>0</f>
        <v>0</v>
      </c>
      <c r="H17" s="6">
        <f>PriceGpFlag</f>
        <v>0.13891337788265645</v>
      </c>
    </row>
    <row r="18" spans="2:8" x14ac:dyDescent="0.45">
      <c r="B18" t="s">
        <v>284</v>
      </c>
      <c r="D18" s="7">
        <f>INDEX(CallCost!$D$24:$I$24,D15)</f>
        <v>0.37712639999999997</v>
      </c>
      <c r="E18" s="7">
        <f>INDEX(CallCost!$D$24:$I$24,E15)</f>
        <v>0.11753279999999999</v>
      </c>
      <c r="F18" s="7">
        <f>INDEX(CallCost!$D$24:$I$24,F15)</f>
        <v>0.37712639999999997</v>
      </c>
      <c r="G18" s="7">
        <f>INDEX(CallCost!$D$24:$I$24,G15)</f>
        <v>0.11753279999999999</v>
      </c>
      <c r="H18" s="7">
        <f>INDEX(CallCost!$D$24:$I$24,H15)</f>
        <v>0.37712639999999997</v>
      </c>
    </row>
    <row r="19" spans="2:8" x14ac:dyDescent="0.45">
      <c r="B19" t="s">
        <v>285</v>
      </c>
      <c r="D19" s="7">
        <f>INDEX(CallCost!$D$25:$I$25,D15)</f>
        <v>9.4281599999999993E-2</v>
      </c>
      <c r="E19" s="7">
        <f>INDEX(CallCost!$D$25:$I$25,E15)</f>
        <v>2.9383199999999998E-2</v>
      </c>
      <c r="F19" s="7">
        <f>INDEX(CallCost!$D$25:$I$25,F15)</f>
        <v>9.4281599999999993E-2</v>
      </c>
      <c r="G19" s="7">
        <f>INDEX(CallCost!$D$25:$I$25,G15)</f>
        <v>2.9383199999999998E-2</v>
      </c>
      <c r="H19" s="7">
        <f>INDEX(CallCost!$D$25:$I$25,H15)</f>
        <v>9.4281599999999993E-2</v>
      </c>
    </row>
    <row r="20" spans="2:8" x14ac:dyDescent="0.45">
      <c r="B20" t="s">
        <v>306</v>
      </c>
      <c r="D20" s="25">
        <f>T_calls1*D_callsScale*D_L</f>
        <v>8</v>
      </c>
      <c r="E20" s="25">
        <f>T_calls1*D_callsScale*D_L</f>
        <v>8</v>
      </c>
      <c r="F20" s="25">
        <f>T_calls1*D_callsScale*D_L</f>
        <v>8</v>
      </c>
      <c r="G20" s="25">
        <f>T_calls1*D_callsScale*D_L</f>
        <v>8</v>
      </c>
      <c r="H20" s="25">
        <f>T_calls1*D_callsScale*D_L</f>
        <v>8</v>
      </c>
    </row>
    <row r="21" spans="2:8" x14ac:dyDescent="0.45">
      <c r="B21" t="s">
        <v>307</v>
      </c>
      <c r="D21" s="25">
        <f>T_calls2*D_callsScale*D_L</f>
        <v>24</v>
      </c>
      <c r="E21" s="25">
        <f>T_calls2*D_callsScale*D_L</f>
        <v>24</v>
      </c>
      <c r="F21" s="25">
        <f>T_calls2*D_callsScale*D_L</f>
        <v>24</v>
      </c>
      <c r="G21" s="25">
        <f>T_calls2*D_callsScale*D_L</f>
        <v>24</v>
      </c>
      <c r="H21" s="25">
        <f>T_calls2*D_callsScale*D_L</f>
        <v>24</v>
      </c>
    </row>
    <row r="22" spans="2:8" x14ac:dyDescent="0.45">
      <c r="B22" t="s">
        <v>308</v>
      </c>
      <c r="D22" s="25">
        <f>T_calls3*D_callsScale*D_L</f>
        <v>80</v>
      </c>
      <c r="E22" s="25">
        <f>T_calls3*D_callsScale*D_L</f>
        <v>80</v>
      </c>
      <c r="F22" s="25">
        <f>T_calls3*D_callsScale*D_L</f>
        <v>80</v>
      </c>
      <c r="G22" s="25">
        <f>T_calls3*D_callsScale*D_L</f>
        <v>80</v>
      </c>
      <c r="H22" s="25">
        <f>T_calls3*D_callsScale*D_L</f>
        <v>80</v>
      </c>
    </row>
    <row r="23" spans="2:8" x14ac:dyDescent="0.45">
      <c r="B23" t="s">
        <v>309</v>
      </c>
      <c r="D23" s="25">
        <f>MIN(D20,D16)</f>
        <v>8</v>
      </c>
      <c r="E23" s="25">
        <f>MIN(E20,E16)</f>
        <v>8</v>
      </c>
      <c r="F23" s="25">
        <f>MIN(F20,F16)</f>
        <v>8</v>
      </c>
      <c r="G23" s="25">
        <f>MIN(G20,G16)</f>
        <v>8</v>
      </c>
      <c r="H23" s="25">
        <f>MIN(H20,H16)</f>
        <v>8</v>
      </c>
    </row>
    <row r="24" spans="2:8" x14ac:dyDescent="0.45">
      <c r="B24" t="s">
        <v>310</v>
      </c>
      <c r="D24" s="25">
        <f>MIN(D21,D16)</f>
        <v>24</v>
      </c>
      <c r="E24" s="25">
        <f>MIN(E21,E16)</f>
        <v>24</v>
      </c>
      <c r="F24" s="25">
        <f>MIN(F21,F16)</f>
        <v>20</v>
      </c>
      <c r="G24" s="25">
        <f>MIN(G21,G16)</f>
        <v>20</v>
      </c>
      <c r="H24" s="25">
        <f>MIN(H21,H16)</f>
        <v>24</v>
      </c>
    </row>
    <row r="25" spans="2:8" x14ac:dyDescent="0.45">
      <c r="B25" t="s">
        <v>311</v>
      </c>
      <c r="D25" s="25">
        <f>MIN(D22,D16)</f>
        <v>80</v>
      </c>
      <c r="E25" s="25">
        <f>MIN(E22,E16)</f>
        <v>80</v>
      </c>
      <c r="F25" s="25">
        <f>MIN(F22,F16)</f>
        <v>20</v>
      </c>
      <c r="G25" s="25">
        <f>MIN(G22,G16)</f>
        <v>20</v>
      </c>
      <c r="H25" s="25">
        <f>MIN(H22,H16)</f>
        <v>80</v>
      </c>
    </row>
    <row r="26" spans="2:8" x14ac:dyDescent="0.45">
      <c r="B26" t="s">
        <v>312</v>
      </c>
      <c r="D26" s="25">
        <f>T_share1*D23+T_share2*D24+T_share3*D25</f>
        <v>24.4</v>
      </c>
      <c r="E26" s="25">
        <f>T_share1*E23+T_share2*E24+T_share3*E25</f>
        <v>24.4</v>
      </c>
      <c r="F26" s="25">
        <f>T_share1*F23+T_share2*F24+T_share3*F25</f>
        <v>14</v>
      </c>
      <c r="G26" s="25">
        <f>T_share1*G23+T_share2*G24+T_share3*G25</f>
        <v>14</v>
      </c>
      <c r="H26" s="25">
        <f>T_share1*H23+T_share2*H24+T_share3*H25</f>
        <v>24.4</v>
      </c>
    </row>
    <row r="27" spans="2:8" x14ac:dyDescent="0.45">
      <c r="B27" t="s">
        <v>313</v>
      </c>
      <c r="D27" s="30">
        <f>D26*D19</f>
        <v>2.3004710399999997</v>
      </c>
      <c r="E27" s="30">
        <f>E26*E19</f>
        <v>0.71695007999999993</v>
      </c>
      <c r="F27" s="30">
        <f>F26*F19</f>
        <v>1.3199424</v>
      </c>
      <c r="G27" s="30">
        <f>G26*G19</f>
        <v>0.41136479999999997</v>
      </c>
      <c r="H27" s="30">
        <f>H26*H19</f>
        <v>2.3004710399999997</v>
      </c>
    </row>
    <row r="28" spans="2:8" x14ac:dyDescent="0.45">
      <c r="B28" t="s">
        <v>314</v>
      </c>
      <c r="D28" s="4">
        <f>PaidAvg*(1-D_maxShare)</f>
        <v>11340000</v>
      </c>
      <c r="E28" s="4">
        <f>PaidAvg*(1-D_maxShare)</f>
        <v>11340000</v>
      </c>
      <c r="F28" s="4">
        <f>PaidAvg*(1-D_maxShare)</f>
        <v>11340000</v>
      </c>
      <c r="G28" s="4">
        <f>PaidAvg*(1-D_maxShare)</f>
        <v>11340000</v>
      </c>
      <c r="H28" s="4">
        <f>PaidAvg*(1-D_maxShare)</f>
        <v>11340000</v>
      </c>
    </row>
    <row r="29" spans="2:8" x14ac:dyDescent="0.45">
      <c r="B29" t="s">
        <v>315</v>
      </c>
      <c r="D29" s="4">
        <f>D28*D_adoptSuper</f>
        <v>3402000</v>
      </c>
      <c r="E29" s="4">
        <f>E28*D_adoptSuper</f>
        <v>3402000</v>
      </c>
      <c r="F29" s="4">
        <f>F28*D_adoptSuper</f>
        <v>3402000</v>
      </c>
      <c r="G29" s="4">
        <f>G28*D_adoptSuper</f>
        <v>3402000</v>
      </c>
      <c r="H29" s="4">
        <f>H28*D_adoptSuper</f>
        <v>3402000</v>
      </c>
    </row>
    <row r="30" spans="2:8" x14ac:dyDescent="0.45">
      <c r="B30" s="3" t="s">
        <v>316</v>
      </c>
      <c r="D30" s="34">
        <f>D29*D27*3</f>
        <v>23478607.434239998</v>
      </c>
      <c r="E30" s="34">
        <f>E29*E27*3</f>
        <v>7317192.5164799988</v>
      </c>
      <c r="F30" s="34">
        <f>F29*F27*3</f>
        <v>13471332.134400001</v>
      </c>
      <c r="G30" s="34">
        <f>G29*G27*3</f>
        <v>4198389.1488000005</v>
      </c>
      <c r="H30" s="34">
        <f>H29*H27*3</f>
        <v>23478607.434239998</v>
      </c>
    </row>
    <row r="31" spans="2:8" x14ac:dyDescent="0.45">
      <c r="B31" t="s">
        <v>317</v>
      </c>
      <c r="D31" s="33">
        <f>D17*ARPU*D28*3</f>
        <v>0</v>
      </c>
      <c r="E31" s="33">
        <f>E17*ARPU*E28*3</f>
        <v>0</v>
      </c>
      <c r="F31" s="33">
        <f>F17*ARPU*F28*3</f>
        <v>0</v>
      </c>
      <c r="G31" s="33">
        <f>G17*ARPU*G28*3</f>
        <v>0</v>
      </c>
      <c r="H31" s="33">
        <f>H17*ARPU*H28*3</f>
        <v>32260062.115756132</v>
      </c>
    </row>
    <row r="32" spans="2:8" x14ac:dyDescent="0.45">
      <c r="B32" s="3" t="s">
        <v>224</v>
      </c>
      <c r="D32" s="35">
        <f>GMb-D30/(Rev+D31)</f>
        <v>0.64912433728795993</v>
      </c>
      <c r="E32" s="35">
        <f>GMb-E30/(Rev+E31)</f>
        <v>0.70327477560595864</v>
      </c>
      <c r="F32" s="35">
        <f>GMb-F30/(Rev+F31)</f>
        <v>0.68265471483304219</v>
      </c>
      <c r="G32" s="35">
        <f>GMb-G30/(Rev+G31)</f>
        <v>0.71372463845812351</v>
      </c>
      <c r="H32" s="35">
        <f>GMb-H30/(Rev+H31)</f>
        <v>0.6567980841381712</v>
      </c>
    </row>
    <row r="33" spans="2:10" x14ac:dyDescent="0.45">
      <c r="B33" t="s">
        <v>318</v>
      </c>
      <c r="D33" s="5">
        <f>D32-GMb</f>
        <v>-7.866742424038542E-2</v>
      </c>
      <c r="E33" s="5">
        <f>E32-GMb</f>
        <v>-2.4516985922386714E-2</v>
      </c>
      <c r="F33" s="5">
        <f>F32-GMb</f>
        <v>-4.5137046695303162E-2</v>
      </c>
      <c r="G33" s="5">
        <f>G32-GMb</f>
        <v>-1.4067123070221843E-2</v>
      </c>
      <c r="H33" s="5">
        <f>H32-GMb</f>
        <v>-7.0993677390174148E-2</v>
      </c>
    </row>
    <row r="35" spans="2:10" ht="15.75" x14ac:dyDescent="0.5">
      <c r="B35" s="9" t="s">
        <v>319</v>
      </c>
    </row>
    <row r="36" spans="2:10" x14ac:dyDescent="0.45">
      <c r="B36" t="s">
        <v>320</v>
      </c>
      <c r="D36" s="30">
        <f>BudgetQ/($D$29*3)</f>
        <v>0.52028438126404009</v>
      </c>
      <c r="J36" s="11" t="s">
        <v>321</v>
      </c>
    </row>
    <row r="37" spans="2:10" x14ac:dyDescent="0.45">
      <c r="B37" t="s">
        <v>322</v>
      </c>
      <c r="D37" s="25">
        <f>IF((BudgetQ/($D$29*3*$D$19))&gt;=(T_share1*$D$20+T_share2*$D$21+T_share3*$D$22),$D$22,IF((BudgetQ/($D$29*3*$D$19))&gt;=(T_share1*$D$20+(T_share2+T_share3)*$D$21),((BudgetQ/($D$29*3*$D$19))-T_share1*$D$20-T_share2*$D$21)/T_share3,IF((BudgetQ/($D$29*3*$D$19))&gt;=$D$20,((BudgetQ/($D$29*3*$D$19))-T_share1*$D$20)/(T_share2+T_share3),(BudgetQ/($D$29*3*$D$19)))))</f>
        <v>5.5184084833524274</v>
      </c>
      <c r="J37" s="11" t="s">
        <v>323</v>
      </c>
    </row>
    <row r="38" spans="2:10" x14ac:dyDescent="0.45">
      <c r="B38" s="3" t="s">
        <v>324</v>
      </c>
      <c r="D38" s="25">
        <f>IF((BudgetQ/($E$29*3*$E$19))&gt;=(T_share1*$E$20+T_share2*$E$21+T_share3*$E$22),$E$22,IF((BudgetQ/($E$29*3*$E$19))&gt;=(T_share1*$E$20+(T_share2+T_share3)*$E$21),((BudgetQ/($E$29*3*$E$19))-T_share1*$E$20-T_share2*$E$21)/T_share3,IF((BudgetQ/($E$29*3*$E$19))&gt;=$E$20,((BudgetQ/($E$29*3*$E$19))-T_share1*$E$20)/(T_share2+T_share3),(BudgetQ/($E$29*3*$E$19)))))</f>
        <v>35.379105807409275</v>
      </c>
      <c r="J38" s="11" t="s">
        <v>325</v>
      </c>
    </row>
    <row r="39" spans="2:10" x14ac:dyDescent="0.45">
      <c r="B39" t="s">
        <v>326</v>
      </c>
      <c r="D39" s="25">
        <f>IF((BudgetPlan/($E$29*3*$E$19))&gt;=(T_share1*$E$20+T_share2*$E$21+T_share3*$E$22),$E$22,IF((BudgetPlan/($E$29*3*$E$19))&gt;=(T_share1*$E$20+(T_share2+T_share3)*$E$21),((BudgetPlan/($E$29*3*$E$19))-T_share1*$E$20-T_share2*$E$21)/T_share3,IF((BudgetPlan/($E$29*3*$E$19))&gt;=$E$20,((BudgetPlan/($E$29*3*$E$19))-T_share1*$E$20)/(T_share2+T_share3),(BudgetPlan/($E$29*3*$E$19)))))</f>
        <v>22.437589879343925</v>
      </c>
      <c r="J39" s="11" t="s">
        <v>327</v>
      </c>
    </row>
    <row r="40" spans="2:10" x14ac:dyDescent="0.45">
      <c r="B40" s="3" t="s">
        <v>328</v>
      </c>
      <c r="D40" s="4">
        <f>IF(CapPlanRaw&lt;=0,0,INT(CapPlanRaw/CapStep+0.000000001)*CapStep)</f>
        <v>20</v>
      </c>
      <c r="J40" s="11" t="s">
        <v>329</v>
      </c>
    </row>
    <row r="41" spans="2:10" x14ac:dyDescent="0.45">
      <c r="B41" t="s">
        <v>330</v>
      </c>
      <c r="D41" s="6">
        <f>($D$30-BudgetQ)/($D$30-$E$30)</f>
        <v>1.12419519772947</v>
      </c>
      <c r="J41" s="11" t="s">
        <v>331</v>
      </c>
    </row>
    <row r="42" spans="2:10" x14ac:dyDescent="0.45">
      <c r="B42" t="s">
        <v>332</v>
      </c>
      <c r="D42" s="33">
        <f>ARPU*$D$28*3</f>
        <v>232231500</v>
      </c>
      <c r="J42" s="11"/>
    </row>
    <row r="43" spans="2:10" x14ac:dyDescent="0.45">
      <c r="B43" t="s">
        <v>333</v>
      </c>
      <c r="D43" s="6">
        <f>($D$30/(GMb-TargetM)-Rev)/SuperRevQ</f>
        <v>4.3972487059335865</v>
      </c>
      <c r="J43" s="11" t="s">
        <v>334</v>
      </c>
    </row>
    <row r="44" spans="2:10" x14ac:dyDescent="0.45">
      <c r="B44" t="s">
        <v>335</v>
      </c>
      <c r="D44" s="6">
        <f>($E$30/(GMb-TargetM)-Rev)/SuperRevQ</f>
        <v>0.48578500744538522</v>
      </c>
      <c r="J44" s="11"/>
    </row>
    <row r="45" spans="2:10" x14ac:dyDescent="0.45">
      <c r="B45" t="s">
        <v>336</v>
      </c>
      <c r="D45" s="6">
        <f>$D$30/(GMb*SuperRevQ)</f>
        <v>0.13891337788265645</v>
      </c>
      <c r="J45" s="11" t="s">
        <v>337</v>
      </c>
    </row>
    <row r="46" spans="2:10" x14ac:dyDescent="0.45">
      <c r="B46" t="s">
        <v>338</v>
      </c>
      <c r="D46" s="6">
        <f>$E$30/(GMb*SuperRevQ)</f>
        <v>4.3292854226080923E-2</v>
      </c>
      <c r="J46" s="11"/>
    </row>
    <row r="47" spans="2:10" x14ac:dyDescent="0.45">
      <c r="B47" t="s">
        <v>339</v>
      </c>
      <c r="D47" s="6">
        <f>D_realization*BudgetQ/$E$30</f>
        <v>0.72569122422587662</v>
      </c>
      <c r="J47" s="11" t="s">
        <v>340</v>
      </c>
    </row>
    <row r="48" spans="2:10" x14ac:dyDescent="0.45">
      <c r="B48" t="s">
        <v>341</v>
      </c>
      <c r="D48" s="6">
        <f>IF($G$27=0,1,BudgetQ/($G$28*$G$27*3))</f>
        <v>0.37943284009524403</v>
      </c>
      <c r="J48" s="11" t="s">
        <v>342</v>
      </c>
    </row>
    <row r="49" spans="2:10" x14ac:dyDescent="0.45">
      <c r="B49" t="s">
        <v>343</v>
      </c>
      <c r="D49" s="4">
        <f>MAX(0,PlanCap-CapStep)</f>
        <v>15</v>
      </c>
      <c r="J49" s="11"/>
    </row>
    <row r="50" spans="2:10" x14ac:dyDescent="0.45">
      <c r="B50" t="s">
        <v>344</v>
      </c>
      <c r="D50" s="30">
        <f>(T_share1*MIN($E$20,CapLow)+T_share2*MIN($E$21,CapLow)+T_share3*MIN($E$22,CapLow))*$E$19</f>
        <v>0.33790679999999995</v>
      </c>
      <c r="J50" s="11" t="s">
        <v>345</v>
      </c>
    </row>
    <row r="51" spans="2:10" x14ac:dyDescent="0.45">
      <c r="B51" t="s">
        <v>346</v>
      </c>
      <c r="D51" s="6">
        <f>INDEX(CallCost!$D$26:$I$26,IdxFlag)</f>
        <v>0.37633642195295786</v>
      </c>
      <c r="J51" s="11" t="s">
        <v>347</v>
      </c>
    </row>
    <row r="52" spans="2:10" x14ac:dyDescent="0.45">
      <c r="B52" t="s">
        <v>348</v>
      </c>
      <c r="D52" s="25">
        <f>$E$22</f>
        <v>80</v>
      </c>
      <c r="J52" s="11"/>
    </row>
    <row r="53" spans="2:10" x14ac:dyDescent="0.45">
      <c r="B53" t="s">
        <v>349</v>
      </c>
      <c r="D53" s="25">
        <f>PlanCap/D_L</f>
        <v>5</v>
      </c>
      <c r="J53" s="11"/>
    </row>
    <row r="54" spans="2:10" x14ac:dyDescent="0.45">
      <c r="B54" t="s">
        <v>350</v>
      </c>
      <c r="D54" s="6">
        <f>IF(CostPerCallerLow=0,1,BudgetQ/($G$28*CostPerCallerLow*3))</f>
        <v>0.46191824011594934</v>
      </c>
      <c r="J54" s="11"/>
    </row>
    <row r="55" spans="2:10" x14ac:dyDescent="0.45">
      <c r="B55" t="s">
        <v>351</v>
      </c>
      <c r="D55" s="6">
        <f>IF(Engine!AK118&lt;=BudgetQ,0,(Engine!AK118-BudgetQ)/(Engine!AK118-Engine!AK119))</f>
        <v>0.65497576538253399</v>
      </c>
      <c r="J55" s="11" t="s">
        <v>352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128"/>
  <sheetViews>
    <sheetView showGridLines="0" workbookViewId="0">
      <pane xSplit="2" ySplit="4" topLeftCell="C5" activePane="bottomRight" state="frozen"/>
      <selection pane="topRight"/>
      <selection pane="bottomLeft"/>
      <selection pane="bottomRight"/>
    </sheetView>
  </sheetViews>
  <sheetFormatPr defaultRowHeight="14.25" x14ac:dyDescent="0.45"/>
  <cols>
    <col min="1" max="1" width="16" customWidth="1"/>
    <col min="2" max="2" width="44" customWidth="1"/>
    <col min="3" max="39" width="11" customWidth="1"/>
  </cols>
  <sheetData>
    <row r="1" spans="1:39" ht="18" x14ac:dyDescent="0.55000000000000004">
      <c r="B1" s="1" t="s">
        <v>353</v>
      </c>
    </row>
    <row r="2" spans="1:39" x14ac:dyDescent="0.45">
      <c r="B2" s="2" t="s">
        <v>354</v>
      </c>
    </row>
    <row r="4" spans="1:39" ht="30" customHeight="1" x14ac:dyDescent="0.45">
      <c r="A4" s="8" t="s">
        <v>355</v>
      </c>
      <c r="B4" s="8" t="s">
        <v>356</v>
      </c>
      <c r="C4" s="8" t="s">
        <v>163</v>
      </c>
      <c r="D4" s="8" t="s">
        <v>166</v>
      </c>
      <c r="E4" s="8" t="s">
        <v>172</v>
      </c>
      <c r="F4" s="8" t="s">
        <v>176</v>
      </c>
      <c r="G4" s="8" t="s">
        <v>180</v>
      </c>
      <c r="H4" s="8" t="s">
        <v>183</v>
      </c>
      <c r="I4" s="8" t="s">
        <v>186</v>
      </c>
      <c r="J4" s="8" t="s">
        <v>189</v>
      </c>
      <c r="K4" s="8" t="s">
        <v>192</v>
      </c>
      <c r="L4" s="8" t="s">
        <v>357</v>
      </c>
      <c r="M4" s="8" t="s">
        <v>358</v>
      </c>
      <c r="N4" s="8" t="s">
        <v>359</v>
      </c>
      <c r="O4" s="8" t="s">
        <v>360</v>
      </c>
      <c r="P4" s="8" t="s">
        <v>361</v>
      </c>
      <c r="Q4" s="8" t="s">
        <v>362</v>
      </c>
      <c r="R4" s="8" t="s">
        <v>363</v>
      </c>
      <c r="S4" s="8" t="s">
        <v>364</v>
      </c>
      <c r="T4" s="8" t="s">
        <v>365</v>
      </c>
      <c r="U4" s="8" t="s">
        <v>366</v>
      </c>
      <c r="V4" s="8" t="s">
        <v>367</v>
      </c>
      <c r="W4" s="8" t="s">
        <v>368</v>
      </c>
      <c r="X4" s="8" t="s">
        <v>369</v>
      </c>
      <c r="Y4" s="8" t="s">
        <v>370</v>
      </c>
      <c r="Z4" s="8" t="s">
        <v>371</v>
      </c>
      <c r="AA4" s="8" t="s">
        <v>372</v>
      </c>
      <c r="AB4" s="8" t="s">
        <v>373</v>
      </c>
      <c r="AC4" s="8" t="s">
        <v>374</v>
      </c>
      <c r="AD4" s="8" t="s">
        <v>375</v>
      </c>
      <c r="AE4" s="8" t="s">
        <v>376</v>
      </c>
      <c r="AF4" s="8" t="s">
        <v>377</v>
      </c>
      <c r="AG4" s="8" t="s">
        <v>378</v>
      </c>
      <c r="AH4" s="8" t="s">
        <v>379</v>
      </c>
      <c r="AI4" s="8" t="s">
        <v>380</v>
      </c>
      <c r="AJ4" s="8" t="s">
        <v>381</v>
      </c>
      <c r="AK4" s="8" t="s">
        <v>382</v>
      </c>
      <c r="AL4" s="8" t="s">
        <v>383</v>
      </c>
      <c r="AM4" s="8" t="s">
        <v>384</v>
      </c>
    </row>
    <row r="5" spans="1:39" x14ac:dyDescent="0.45">
      <c r="A5" t="s">
        <v>385</v>
      </c>
      <c r="B5" t="s">
        <v>386</v>
      </c>
      <c r="C5" s="6">
        <f t="shared" ref="C5:C24" si="0">D_maxShare</f>
        <v>0.1</v>
      </c>
      <c r="D5" s="6">
        <f>D_adoptSuper</f>
        <v>0.3</v>
      </c>
      <c r="E5" s="22">
        <f>D_callsScale</f>
        <v>1</v>
      </c>
      <c r="F5" s="25">
        <f t="shared" ref="F5:F30" si="1">D_L</f>
        <v>4</v>
      </c>
      <c r="G5" s="6">
        <f t="shared" ref="G5:G32" si="2">D_s</f>
        <v>0.4</v>
      </c>
      <c r="H5" s="4">
        <f t="shared" ref="H5:H34" si="3">D_r</f>
        <v>3</v>
      </c>
      <c r="I5" s="6">
        <f>D_c</f>
        <v>0.8</v>
      </c>
      <c r="J5" s="4">
        <f t="shared" ref="J5:J38" si="4">D_sysTok</f>
        <v>1500</v>
      </c>
      <c r="K5" s="6">
        <f t="shared" ref="K5:K40" si="5">D_realization</f>
        <v>1</v>
      </c>
      <c r="L5" s="4">
        <f>IdxFlag</f>
        <v>6</v>
      </c>
      <c r="M5" s="4">
        <f>NoCap</f>
        <v>1000000</v>
      </c>
      <c r="N5" s="6">
        <f>0</f>
        <v>0</v>
      </c>
      <c r="O5" s="25">
        <f t="shared" ref="O5:O36" si="6">H5*F5</f>
        <v>12</v>
      </c>
      <c r="P5" s="25">
        <f t="shared" ref="P5:P36" si="7">F5*G5*TokIn</f>
        <v>960</v>
      </c>
      <c r="Q5" s="25">
        <f t="shared" ref="Q5:Q36" si="8">F5*(1-G5)*TokOut</f>
        <v>2880</v>
      </c>
      <c r="R5" s="25">
        <f t="shared" ref="R5:R36" si="9">(G5*TokIn+(1-G5)*TokOut)*F5*(O5-1)/2</f>
        <v>21120</v>
      </c>
      <c r="S5" s="25">
        <f t="shared" ref="S5:S36" si="10">O5*J5</f>
        <v>18000</v>
      </c>
      <c r="T5" s="30">
        <f t="shared" ref="T5:T36" si="11">INDEX(ListAudioIn,L5)</f>
        <v>32</v>
      </c>
      <c r="U5" s="30">
        <f t="shared" ref="U5:U36" si="12">INDEX(ListAudioCached,L5)</f>
        <v>0.4</v>
      </c>
      <c r="V5" s="30">
        <f t="shared" ref="V5:V36" si="13">INDEX(ListAudioOut,L5)</f>
        <v>64</v>
      </c>
      <c r="W5" s="30">
        <f t="shared" ref="W5:W36" si="14">INDEX(ListTextIn,L5)</f>
        <v>4</v>
      </c>
      <c r="X5" s="30">
        <f t="shared" ref="X5:X36" si="15">INDEX(ListTextCached,L5)</f>
        <v>0.4</v>
      </c>
      <c r="Y5" s="7">
        <f t="shared" ref="Y5:Y36" si="16">K5*(P5*T5+Q5*V5+R5*(I5*U5+(1-I5)*T5)+S5*(I5*X5+(1-I5)*W5))/1000000</f>
        <v>0.37712639999999997</v>
      </c>
      <c r="Z5" s="7">
        <f t="shared" ref="Z5:Z36" si="17">Y5/F5</f>
        <v>9.4281599999999993E-2</v>
      </c>
      <c r="AA5" s="25">
        <f t="shared" ref="AA5:AA36" si="18">T_calls1*E5*F5</f>
        <v>8</v>
      </c>
      <c r="AB5" s="25">
        <f t="shared" ref="AB5:AB36" si="19">T_calls2*E5*F5</f>
        <v>24</v>
      </c>
      <c r="AC5" s="25">
        <f t="shared" ref="AC5:AC36" si="20">T_calls3*E5*F5</f>
        <v>80</v>
      </c>
      <c r="AD5" s="25">
        <f t="shared" ref="AD5:AD36" si="21">MIN(AA5,M5)</f>
        <v>8</v>
      </c>
      <c r="AE5" s="25">
        <f t="shared" ref="AE5:AE36" si="22">MIN(AB5,M5)</f>
        <v>24</v>
      </c>
      <c r="AF5" s="25">
        <f t="shared" ref="AF5:AF36" si="23">MIN(AC5,M5)</f>
        <v>80</v>
      </c>
      <c r="AG5" s="25">
        <f t="shared" ref="AG5:AG36" si="24">T_share1*AD5+T_share2*AE5+T_share3*AF5</f>
        <v>24.4</v>
      </c>
      <c r="AH5" s="30">
        <f t="shared" ref="AH5:AH36" si="25">AG5*Z5</f>
        <v>2.3004710399999997</v>
      </c>
      <c r="AI5" s="25">
        <f t="shared" ref="AI5:AI36" si="26">PaidAvg*(1-C5)</f>
        <v>11340000</v>
      </c>
      <c r="AJ5" s="25">
        <f t="shared" ref="AJ5:AJ36" si="27">AI5*D5</f>
        <v>3402000</v>
      </c>
      <c r="AK5" s="33">
        <f t="shared" ref="AK5:AK36" si="28">AJ5*AH5*3</f>
        <v>23478607.434239998</v>
      </c>
      <c r="AL5" s="33">
        <f t="shared" ref="AL5:AL36" si="29">N5*ARPU*AI5*3</f>
        <v>0</v>
      </c>
      <c r="AM5" s="5">
        <f t="shared" ref="AM5:AM36" si="30">GMb-AK5/(Rev+AL5)</f>
        <v>0.64912433728795993</v>
      </c>
    </row>
    <row r="6" spans="1:39" x14ac:dyDescent="0.45">
      <c r="A6" t="s">
        <v>387</v>
      </c>
      <c r="B6" t="s">
        <v>388</v>
      </c>
      <c r="C6" s="6">
        <f t="shared" si="0"/>
        <v>0.1</v>
      </c>
      <c r="D6" s="6">
        <f>D_adoptSuper</f>
        <v>0.3</v>
      </c>
      <c r="E6" s="22">
        <f>D_callsScale</f>
        <v>1</v>
      </c>
      <c r="F6" s="25">
        <f t="shared" si="1"/>
        <v>4</v>
      </c>
      <c r="G6" s="6">
        <f t="shared" si="2"/>
        <v>0.4</v>
      </c>
      <c r="H6" s="4">
        <f t="shared" si="3"/>
        <v>3</v>
      </c>
      <c r="I6" s="6">
        <f>D_c</f>
        <v>0.8</v>
      </c>
      <c r="J6" s="4">
        <f t="shared" si="4"/>
        <v>1500</v>
      </c>
      <c r="K6" s="6">
        <f t="shared" si="5"/>
        <v>1</v>
      </c>
      <c r="L6" s="4">
        <f>IdxMini</f>
        <v>5</v>
      </c>
      <c r="M6" s="4">
        <f>NoCap</f>
        <v>1000000</v>
      </c>
      <c r="N6" s="6">
        <f>0</f>
        <v>0</v>
      </c>
      <c r="O6" s="25">
        <f t="shared" si="6"/>
        <v>12</v>
      </c>
      <c r="P6" s="25">
        <f t="shared" si="7"/>
        <v>960</v>
      </c>
      <c r="Q6" s="25">
        <f t="shared" si="8"/>
        <v>2880</v>
      </c>
      <c r="R6" s="25">
        <f t="shared" si="9"/>
        <v>21120</v>
      </c>
      <c r="S6" s="25">
        <f t="shared" si="10"/>
        <v>18000</v>
      </c>
      <c r="T6" s="30">
        <f t="shared" si="11"/>
        <v>10</v>
      </c>
      <c r="U6" s="30">
        <f t="shared" si="12"/>
        <v>0.3</v>
      </c>
      <c r="V6" s="30">
        <f t="shared" si="13"/>
        <v>20</v>
      </c>
      <c r="W6" s="30">
        <f t="shared" si="14"/>
        <v>0.6</v>
      </c>
      <c r="X6" s="30">
        <f t="shared" si="15"/>
        <v>0.06</v>
      </c>
      <c r="Y6" s="7">
        <f t="shared" si="16"/>
        <v>0.11753279999999999</v>
      </c>
      <c r="Z6" s="7">
        <f t="shared" si="17"/>
        <v>2.9383199999999998E-2</v>
      </c>
      <c r="AA6" s="25">
        <f t="shared" si="18"/>
        <v>8</v>
      </c>
      <c r="AB6" s="25">
        <f t="shared" si="19"/>
        <v>24</v>
      </c>
      <c r="AC6" s="25">
        <f t="shared" si="20"/>
        <v>80</v>
      </c>
      <c r="AD6" s="25">
        <f t="shared" si="21"/>
        <v>8</v>
      </c>
      <c r="AE6" s="25">
        <f t="shared" si="22"/>
        <v>24</v>
      </c>
      <c r="AF6" s="25">
        <f t="shared" si="23"/>
        <v>80</v>
      </c>
      <c r="AG6" s="25">
        <f t="shared" si="24"/>
        <v>24.4</v>
      </c>
      <c r="AH6" s="30">
        <f t="shared" si="25"/>
        <v>0.71695007999999993</v>
      </c>
      <c r="AI6" s="25">
        <f t="shared" si="26"/>
        <v>11340000</v>
      </c>
      <c r="AJ6" s="25">
        <f t="shared" si="27"/>
        <v>3402000</v>
      </c>
      <c r="AK6" s="33">
        <f t="shared" si="28"/>
        <v>7317192.5164799988</v>
      </c>
      <c r="AL6" s="33">
        <f t="shared" si="29"/>
        <v>0</v>
      </c>
      <c r="AM6" s="5">
        <f t="shared" si="30"/>
        <v>0.70327477560595864</v>
      </c>
    </row>
    <row r="7" spans="1:39" x14ac:dyDescent="0.45">
      <c r="A7" t="s">
        <v>389</v>
      </c>
      <c r="B7" t="s">
        <v>390</v>
      </c>
      <c r="C7" s="6">
        <f t="shared" si="0"/>
        <v>0.1</v>
      </c>
      <c r="D7" s="6">
        <f>D_adoptSuper</f>
        <v>0.3</v>
      </c>
      <c r="E7" s="22">
        <f>D_callsScale</f>
        <v>1</v>
      </c>
      <c r="F7" s="25">
        <f t="shared" si="1"/>
        <v>4</v>
      </c>
      <c r="G7" s="6">
        <f t="shared" si="2"/>
        <v>0.4</v>
      </c>
      <c r="H7" s="4">
        <f t="shared" si="3"/>
        <v>3</v>
      </c>
      <c r="I7" s="6">
        <f>D_c</f>
        <v>0.8</v>
      </c>
      <c r="J7" s="4">
        <f t="shared" si="4"/>
        <v>1500</v>
      </c>
      <c r="K7" s="6">
        <f t="shared" si="5"/>
        <v>1</v>
      </c>
      <c r="L7" s="4">
        <f>IdxFlag</f>
        <v>6</v>
      </c>
      <c r="M7" s="4">
        <f>PlanCap</f>
        <v>20</v>
      </c>
      <c r="N7" s="6">
        <f>0</f>
        <v>0</v>
      </c>
      <c r="O7" s="25">
        <f t="shared" si="6"/>
        <v>12</v>
      </c>
      <c r="P7" s="25">
        <f t="shared" si="7"/>
        <v>960</v>
      </c>
      <c r="Q7" s="25">
        <f t="shared" si="8"/>
        <v>2880</v>
      </c>
      <c r="R7" s="25">
        <f t="shared" si="9"/>
        <v>21120</v>
      </c>
      <c r="S7" s="25">
        <f t="shared" si="10"/>
        <v>18000</v>
      </c>
      <c r="T7" s="30">
        <f t="shared" si="11"/>
        <v>32</v>
      </c>
      <c r="U7" s="30">
        <f t="shared" si="12"/>
        <v>0.4</v>
      </c>
      <c r="V7" s="30">
        <f t="shared" si="13"/>
        <v>64</v>
      </c>
      <c r="W7" s="30">
        <f t="shared" si="14"/>
        <v>4</v>
      </c>
      <c r="X7" s="30">
        <f t="shared" si="15"/>
        <v>0.4</v>
      </c>
      <c r="Y7" s="7">
        <f t="shared" si="16"/>
        <v>0.37712639999999997</v>
      </c>
      <c r="Z7" s="7">
        <f t="shared" si="17"/>
        <v>9.4281599999999993E-2</v>
      </c>
      <c r="AA7" s="25">
        <f t="shared" si="18"/>
        <v>8</v>
      </c>
      <c r="AB7" s="25">
        <f t="shared" si="19"/>
        <v>24</v>
      </c>
      <c r="AC7" s="25">
        <f t="shared" si="20"/>
        <v>80</v>
      </c>
      <c r="AD7" s="25">
        <f t="shared" si="21"/>
        <v>8</v>
      </c>
      <c r="AE7" s="25">
        <f t="shared" si="22"/>
        <v>20</v>
      </c>
      <c r="AF7" s="25">
        <f t="shared" si="23"/>
        <v>20</v>
      </c>
      <c r="AG7" s="25">
        <f t="shared" si="24"/>
        <v>14</v>
      </c>
      <c r="AH7" s="30">
        <f t="shared" si="25"/>
        <v>1.3199424</v>
      </c>
      <c r="AI7" s="25">
        <f t="shared" si="26"/>
        <v>11340000</v>
      </c>
      <c r="AJ7" s="25">
        <f t="shared" si="27"/>
        <v>3402000</v>
      </c>
      <c r="AK7" s="33">
        <f t="shared" si="28"/>
        <v>13471332.134400001</v>
      </c>
      <c r="AL7" s="33">
        <f t="shared" si="29"/>
        <v>0</v>
      </c>
      <c r="AM7" s="5">
        <f t="shared" si="30"/>
        <v>0.68265471483304219</v>
      </c>
    </row>
    <row r="8" spans="1:39" x14ac:dyDescent="0.45">
      <c r="A8" t="s">
        <v>391</v>
      </c>
      <c r="B8" t="s">
        <v>392</v>
      </c>
      <c r="C8" s="6">
        <f t="shared" si="0"/>
        <v>0.1</v>
      </c>
      <c r="D8" s="6">
        <f>D_adoptSuper</f>
        <v>0.3</v>
      </c>
      <c r="E8" s="22">
        <f>D_callsScale</f>
        <v>1</v>
      </c>
      <c r="F8" s="25">
        <f t="shared" si="1"/>
        <v>4</v>
      </c>
      <c r="G8" s="6">
        <f t="shared" si="2"/>
        <v>0.4</v>
      </c>
      <c r="H8" s="4">
        <f t="shared" si="3"/>
        <v>3</v>
      </c>
      <c r="I8" s="6">
        <f>D_c</f>
        <v>0.8</v>
      </c>
      <c r="J8" s="4">
        <f t="shared" si="4"/>
        <v>1500</v>
      </c>
      <c r="K8" s="6">
        <f t="shared" si="5"/>
        <v>1</v>
      </c>
      <c r="L8" s="4">
        <f>IdxMini</f>
        <v>5</v>
      </c>
      <c r="M8" s="4">
        <f>PlanCap</f>
        <v>20</v>
      </c>
      <c r="N8" s="6">
        <f>0</f>
        <v>0</v>
      </c>
      <c r="O8" s="25">
        <f t="shared" si="6"/>
        <v>12</v>
      </c>
      <c r="P8" s="25">
        <f t="shared" si="7"/>
        <v>960</v>
      </c>
      <c r="Q8" s="25">
        <f t="shared" si="8"/>
        <v>2880</v>
      </c>
      <c r="R8" s="25">
        <f t="shared" si="9"/>
        <v>21120</v>
      </c>
      <c r="S8" s="25">
        <f t="shared" si="10"/>
        <v>18000</v>
      </c>
      <c r="T8" s="30">
        <f t="shared" si="11"/>
        <v>10</v>
      </c>
      <c r="U8" s="30">
        <f t="shared" si="12"/>
        <v>0.3</v>
      </c>
      <c r="V8" s="30">
        <f t="shared" si="13"/>
        <v>20</v>
      </c>
      <c r="W8" s="30">
        <f t="shared" si="14"/>
        <v>0.6</v>
      </c>
      <c r="X8" s="30">
        <f t="shared" si="15"/>
        <v>0.06</v>
      </c>
      <c r="Y8" s="7">
        <f t="shared" si="16"/>
        <v>0.11753279999999999</v>
      </c>
      <c r="Z8" s="7">
        <f t="shared" si="17"/>
        <v>2.9383199999999998E-2</v>
      </c>
      <c r="AA8" s="25">
        <f t="shared" si="18"/>
        <v>8</v>
      </c>
      <c r="AB8" s="25">
        <f t="shared" si="19"/>
        <v>24</v>
      </c>
      <c r="AC8" s="25">
        <f t="shared" si="20"/>
        <v>80</v>
      </c>
      <c r="AD8" s="25">
        <f t="shared" si="21"/>
        <v>8</v>
      </c>
      <c r="AE8" s="25">
        <f t="shared" si="22"/>
        <v>20</v>
      </c>
      <c r="AF8" s="25">
        <f t="shared" si="23"/>
        <v>20</v>
      </c>
      <c r="AG8" s="25">
        <f t="shared" si="24"/>
        <v>14</v>
      </c>
      <c r="AH8" s="30">
        <f t="shared" si="25"/>
        <v>0.41136479999999997</v>
      </c>
      <c r="AI8" s="25">
        <f t="shared" si="26"/>
        <v>11340000</v>
      </c>
      <c r="AJ8" s="25">
        <f t="shared" si="27"/>
        <v>3402000</v>
      </c>
      <c r="AK8" s="33">
        <f t="shared" si="28"/>
        <v>4198389.1488000005</v>
      </c>
      <c r="AL8" s="33">
        <f t="shared" si="29"/>
        <v>0</v>
      </c>
      <c r="AM8" s="5">
        <f t="shared" si="30"/>
        <v>0.71372463845812351</v>
      </c>
    </row>
    <row r="9" spans="1:39" x14ac:dyDescent="0.45">
      <c r="A9" t="s">
        <v>393</v>
      </c>
      <c r="B9" t="s">
        <v>394</v>
      </c>
      <c r="C9" s="6">
        <f t="shared" si="0"/>
        <v>0.1</v>
      </c>
      <c r="D9" s="6">
        <f>D_adoptSuper</f>
        <v>0.3</v>
      </c>
      <c r="E9" s="22">
        <f>D_callsScale</f>
        <v>1</v>
      </c>
      <c r="F9" s="25">
        <f t="shared" si="1"/>
        <v>4</v>
      </c>
      <c r="G9" s="6">
        <f t="shared" si="2"/>
        <v>0.4</v>
      </c>
      <c r="H9" s="4">
        <f t="shared" si="3"/>
        <v>3</v>
      </c>
      <c r="I9" s="6">
        <f>D_c</f>
        <v>0.8</v>
      </c>
      <c r="J9" s="4">
        <f t="shared" si="4"/>
        <v>1500</v>
      </c>
      <c r="K9" s="6">
        <f t="shared" si="5"/>
        <v>1</v>
      </c>
      <c r="L9" s="4">
        <f>IdxFlag</f>
        <v>6</v>
      </c>
      <c r="M9" s="4">
        <f>NoCap</f>
        <v>1000000</v>
      </c>
      <c r="N9" s="6">
        <f>PriceGpFlag</f>
        <v>0.13891337788265645</v>
      </c>
      <c r="O9" s="25">
        <f t="shared" si="6"/>
        <v>12</v>
      </c>
      <c r="P9" s="25">
        <f t="shared" si="7"/>
        <v>960</v>
      </c>
      <c r="Q9" s="25">
        <f t="shared" si="8"/>
        <v>2880</v>
      </c>
      <c r="R9" s="25">
        <f t="shared" si="9"/>
        <v>21120</v>
      </c>
      <c r="S9" s="25">
        <f t="shared" si="10"/>
        <v>18000</v>
      </c>
      <c r="T9" s="30">
        <f t="shared" si="11"/>
        <v>32</v>
      </c>
      <c r="U9" s="30">
        <f t="shared" si="12"/>
        <v>0.4</v>
      </c>
      <c r="V9" s="30">
        <f t="shared" si="13"/>
        <v>64</v>
      </c>
      <c r="W9" s="30">
        <f t="shared" si="14"/>
        <v>4</v>
      </c>
      <c r="X9" s="30">
        <f t="shared" si="15"/>
        <v>0.4</v>
      </c>
      <c r="Y9" s="7">
        <f t="shared" si="16"/>
        <v>0.37712639999999997</v>
      </c>
      <c r="Z9" s="7">
        <f t="shared" si="17"/>
        <v>9.4281599999999993E-2</v>
      </c>
      <c r="AA9" s="25">
        <f t="shared" si="18"/>
        <v>8</v>
      </c>
      <c r="AB9" s="25">
        <f t="shared" si="19"/>
        <v>24</v>
      </c>
      <c r="AC9" s="25">
        <f t="shared" si="20"/>
        <v>80</v>
      </c>
      <c r="AD9" s="25">
        <f t="shared" si="21"/>
        <v>8</v>
      </c>
      <c r="AE9" s="25">
        <f t="shared" si="22"/>
        <v>24</v>
      </c>
      <c r="AF9" s="25">
        <f t="shared" si="23"/>
        <v>80</v>
      </c>
      <c r="AG9" s="25">
        <f t="shared" si="24"/>
        <v>24.4</v>
      </c>
      <c r="AH9" s="30">
        <f t="shared" si="25"/>
        <v>2.3004710399999997</v>
      </c>
      <c r="AI9" s="25">
        <f t="shared" si="26"/>
        <v>11340000</v>
      </c>
      <c r="AJ9" s="25">
        <f t="shared" si="27"/>
        <v>3402000</v>
      </c>
      <c r="AK9" s="33">
        <f t="shared" si="28"/>
        <v>23478607.434239998</v>
      </c>
      <c r="AL9" s="33">
        <f t="shared" si="29"/>
        <v>32260062.115756132</v>
      </c>
      <c r="AM9" s="5">
        <f t="shared" si="30"/>
        <v>0.6567980841381712</v>
      </c>
    </row>
    <row r="10" spans="1:39" x14ac:dyDescent="0.45">
      <c r="A10" t="s">
        <v>395</v>
      </c>
      <c r="B10" t="s">
        <v>396</v>
      </c>
      <c r="C10" s="6">
        <f t="shared" si="0"/>
        <v>0.1</v>
      </c>
      <c r="D10" s="6">
        <f>S_adoptSuper_bear</f>
        <v>0.45</v>
      </c>
      <c r="E10" s="22">
        <f>S_callsScale_bear</f>
        <v>1.3</v>
      </c>
      <c r="F10" s="25">
        <f t="shared" si="1"/>
        <v>4</v>
      </c>
      <c r="G10" s="6">
        <f t="shared" si="2"/>
        <v>0.4</v>
      </c>
      <c r="H10" s="4">
        <f t="shared" si="3"/>
        <v>3</v>
      </c>
      <c r="I10" s="6">
        <f>S_c_bear</f>
        <v>0.65</v>
      </c>
      <c r="J10" s="4">
        <f t="shared" si="4"/>
        <v>1500</v>
      </c>
      <c r="K10" s="6">
        <f t="shared" si="5"/>
        <v>1</v>
      </c>
      <c r="L10" s="4">
        <f>IdxFlag</f>
        <v>6</v>
      </c>
      <c r="M10" s="4">
        <f>NoCap</f>
        <v>1000000</v>
      </c>
      <c r="N10" s="6">
        <f>0</f>
        <v>0</v>
      </c>
      <c r="O10" s="25">
        <f t="shared" si="6"/>
        <v>12</v>
      </c>
      <c r="P10" s="25">
        <f t="shared" si="7"/>
        <v>960</v>
      </c>
      <c r="Q10" s="25">
        <f t="shared" si="8"/>
        <v>2880</v>
      </c>
      <c r="R10" s="25">
        <f t="shared" si="9"/>
        <v>21120</v>
      </c>
      <c r="S10" s="25">
        <f t="shared" si="10"/>
        <v>18000</v>
      </c>
      <c r="T10" s="30">
        <f t="shared" si="11"/>
        <v>32</v>
      </c>
      <c r="U10" s="30">
        <f t="shared" si="12"/>
        <v>0.4</v>
      </c>
      <c r="V10" s="30">
        <f t="shared" si="13"/>
        <v>64</v>
      </c>
      <c r="W10" s="30">
        <f t="shared" si="14"/>
        <v>4</v>
      </c>
      <c r="X10" s="30">
        <f t="shared" si="15"/>
        <v>0.4</v>
      </c>
      <c r="Y10" s="7">
        <f t="shared" si="16"/>
        <v>0.48695519999999998</v>
      </c>
      <c r="Z10" s="7">
        <f t="shared" si="17"/>
        <v>0.12173879999999999</v>
      </c>
      <c r="AA10" s="25">
        <f t="shared" si="18"/>
        <v>10.4</v>
      </c>
      <c r="AB10" s="25">
        <f t="shared" si="19"/>
        <v>31.200000000000003</v>
      </c>
      <c r="AC10" s="25">
        <f t="shared" si="20"/>
        <v>104</v>
      </c>
      <c r="AD10" s="25">
        <f t="shared" si="21"/>
        <v>10.4</v>
      </c>
      <c r="AE10" s="25">
        <f t="shared" si="22"/>
        <v>31.200000000000003</v>
      </c>
      <c r="AF10" s="25">
        <f t="shared" si="23"/>
        <v>104</v>
      </c>
      <c r="AG10" s="25">
        <f t="shared" si="24"/>
        <v>31.72</v>
      </c>
      <c r="AH10" s="30">
        <f t="shared" si="25"/>
        <v>3.8615547359999995</v>
      </c>
      <c r="AI10" s="25">
        <f t="shared" si="26"/>
        <v>11340000</v>
      </c>
      <c r="AJ10" s="25">
        <f t="shared" si="27"/>
        <v>5103000</v>
      </c>
      <c r="AK10" s="33">
        <f t="shared" si="28"/>
        <v>59116541.453423992</v>
      </c>
      <c r="AL10" s="33">
        <f t="shared" si="29"/>
        <v>0</v>
      </c>
      <c r="AM10" s="5">
        <f t="shared" si="30"/>
        <v>0.52971587226760841</v>
      </c>
    </row>
    <row r="11" spans="1:39" x14ac:dyDescent="0.45">
      <c r="A11" t="s">
        <v>397</v>
      </c>
      <c r="B11" t="s">
        <v>398</v>
      </c>
      <c r="C11" s="6">
        <f t="shared" si="0"/>
        <v>0.1</v>
      </c>
      <c r="D11" s="6">
        <f>S_adoptSuper_bear</f>
        <v>0.45</v>
      </c>
      <c r="E11" s="22">
        <f>S_callsScale_bear</f>
        <v>1.3</v>
      </c>
      <c r="F11" s="25">
        <f t="shared" si="1"/>
        <v>4</v>
      </c>
      <c r="G11" s="6">
        <f t="shared" si="2"/>
        <v>0.4</v>
      </c>
      <c r="H11" s="4">
        <f t="shared" si="3"/>
        <v>3</v>
      </c>
      <c r="I11" s="6">
        <f>S_c_bear</f>
        <v>0.65</v>
      </c>
      <c r="J11" s="4">
        <f t="shared" si="4"/>
        <v>1500</v>
      </c>
      <c r="K11" s="6">
        <f t="shared" si="5"/>
        <v>1</v>
      </c>
      <c r="L11" s="4">
        <f>IdxMini</f>
        <v>5</v>
      </c>
      <c r="M11" s="4">
        <f>NoCap</f>
        <v>1000000</v>
      </c>
      <c r="N11" s="6">
        <f>0</f>
        <v>0</v>
      </c>
      <c r="O11" s="25">
        <f t="shared" si="6"/>
        <v>12</v>
      </c>
      <c r="P11" s="25">
        <f t="shared" si="7"/>
        <v>960</v>
      </c>
      <c r="Q11" s="25">
        <f t="shared" si="8"/>
        <v>2880</v>
      </c>
      <c r="R11" s="25">
        <f t="shared" si="9"/>
        <v>21120</v>
      </c>
      <c r="S11" s="25">
        <f t="shared" si="10"/>
        <v>18000</v>
      </c>
      <c r="T11" s="30">
        <f t="shared" si="11"/>
        <v>10</v>
      </c>
      <c r="U11" s="30">
        <f t="shared" si="12"/>
        <v>0.3</v>
      </c>
      <c r="V11" s="30">
        <f t="shared" si="13"/>
        <v>20</v>
      </c>
      <c r="W11" s="30">
        <f t="shared" si="14"/>
        <v>0.6</v>
      </c>
      <c r="X11" s="30">
        <f t="shared" si="15"/>
        <v>0.06</v>
      </c>
      <c r="Y11" s="7">
        <f t="shared" si="16"/>
        <v>0.1497204</v>
      </c>
      <c r="Z11" s="7">
        <f t="shared" si="17"/>
        <v>3.7430100000000001E-2</v>
      </c>
      <c r="AA11" s="25">
        <f t="shared" si="18"/>
        <v>10.4</v>
      </c>
      <c r="AB11" s="25">
        <f t="shared" si="19"/>
        <v>31.200000000000003</v>
      </c>
      <c r="AC11" s="25">
        <f t="shared" si="20"/>
        <v>104</v>
      </c>
      <c r="AD11" s="25">
        <f t="shared" si="21"/>
        <v>10.4</v>
      </c>
      <c r="AE11" s="25">
        <f t="shared" si="22"/>
        <v>31.200000000000003</v>
      </c>
      <c r="AF11" s="25">
        <f t="shared" si="23"/>
        <v>104</v>
      </c>
      <c r="AG11" s="25">
        <f t="shared" si="24"/>
        <v>31.72</v>
      </c>
      <c r="AH11" s="30">
        <f t="shared" si="25"/>
        <v>1.1872827719999999</v>
      </c>
      <c r="AI11" s="25">
        <f t="shared" si="26"/>
        <v>11340000</v>
      </c>
      <c r="AJ11" s="25">
        <f t="shared" si="27"/>
        <v>5103000</v>
      </c>
      <c r="AK11" s="33">
        <f t="shared" si="28"/>
        <v>18176111.956547998</v>
      </c>
      <c r="AL11" s="33">
        <f t="shared" si="29"/>
        <v>0</v>
      </c>
      <c r="AM11" s="5">
        <f t="shared" si="30"/>
        <v>0.66689087912587131</v>
      </c>
    </row>
    <row r="12" spans="1:39" x14ac:dyDescent="0.45">
      <c r="A12" t="s">
        <v>399</v>
      </c>
      <c r="B12" t="s">
        <v>400</v>
      </c>
      <c r="C12" s="6">
        <f t="shared" si="0"/>
        <v>0.1</v>
      </c>
      <c r="D12" s="6">
        <f>S_adoptSuper_bear</f>
        <v>0.45</v>
      </c>
      <c r="E12" s="22">
        <f>S_callsScale_bear</f>
        <v>1.3</v>
      </c>
      <c r="F12" s="25">
        <f t="shared" si="1"/>
        <v>4</v>
      </c>
      <c r="G12" s="6">
        <f t="shared" si="2"/>
        <v>0.4</v>
      </c>
      <c r="H12" s="4">
        <f t="shared" si="3"/>
        <v>3</v>
      </c>
      <c r="I12" s="6">
        <f>S_c_bear</f>
        <v>0.65</v>
      </c>
      <c r="J12" s="4">
        <f t="shared" si="4"/>
        <v>1500</v>
      </c>
      <c r="K12" s="6">
        <f t="shared" si="5"/>
        <v>1</v>
      </c>
      <c r="L12" s="4">
        <f>IdxFlag</f>
        <v>6</v>
      </c>
      <c r="M12" s="4">
        <f>PlanCap</f>
        <v>20</v>
      </c>
      <c r="N12" s="6">
        <f>0</f>
        <v>0</v>
      </c>
      <c r="O12" s="25">
        <f t="shared" si="6"/>
        <v>12</v>
      </c>
      <c r="P12" s="25">
        <f t="shared" si="7"/>
        <v>960</v>
      </c>
      <c r="Q12" s="25">
        <f t="shared" si="8"/>
        <v>2880</v>
      </c>
      <c r="R12" s="25">
        <f t="shared" si="9"/>
        <v>21120</v>
      </c>
      <c r="S12" s="25">
        <f t="shared" si="10"/>
        <v>18000</v>
      </c>
      <c r="T12" s="30">
        <f t="shared" si="11"/>
        <v>32</v>
      </c>
      <c r="U12" s="30">
        <f t="shared" si="12"/>
        <v>0.4</v>
      </c>
      <c r="V12" s="30">
        <f t="shared" si="13"/>
        <v>64</v>
      </c>
      <c r="W12" s="30">
        <f t="shared" si="14"/>
        <v>4</v>
      </c>
      <c r="X12" s="30">
        <f t="shared" si="15"/>
        <v>0.4</v>
      </c>
      <c r="Y12" s="7">
        <f t="shared" si="16"/>
        <v>0.48695519999999998</v>
      </c>
      <c r="Z12" s="7">
        <f t="shared" si="17"/>
        <v>0.12173879999999999</v>
      </c>
      <c r="AA12" s="25">
        <f t="shared" si="18"/>
        <v>10.4</v>
      </c>
      <c r="AB12" s="25">
        <f t="shared" si="19"/>
        <v>31.200000000000003</v>
      </c>
      <c r="AC12" s="25">
        <f t="shared" si="20"/>
        <v>104</v>
      </c>
      <c r="AD12" s="25">
        <f t="shared" si="21"/>
        <v>10.4</v>
      </c>
      <c r="AE12" s="25">
        <f t="shared" si="22"/>
        <v>20</v>
      </c>
      <c r="AF12" s="25">
        <f t="shared" si="23"/>
        <v>20</v>
      </c>
      <c r="AG12" s="25">
        <f t="shared" si="24"/>
        <v>15.2</v>
      </c>
      <c r="AH12" s="30">
        <f t="shared" si="25"/>
        <v>1.8504297599999999</v>
      </c>
      <c r="AI12" s="25">
        <f t="shared" si="26"/>
        <v>11340000</v>
      </c>
      <c r="AJ12" s="25">
        <f t="shared" si="27"/>
        <v>5103000</v>
      </c>
      <c r="AK12" s="33">
        <f t="shared" si="28"/>
        <v>28328229.195840001</v>
      </c>
      <c r="AL12" s="33">
        <f t="shared" si="29"/>
        <v>0</v>
      </c>
      <c r="AM12" s="5">
        <f t="shared" si="30"/>
        <v>0.63287519416506655</v>
      </c>
    </row>
    <row r="13" spans="1:39" x14ac:dyDescent="0.45">
      <c r="A13" t="s">
        <v>401</v>
      </c>
      <c r="B13" t="s">
        <v>402</v>
      </c>
      <c r="C13" s="6">
        <f t="shared" si="0"/>
        <v>0.1</v>
      </c>
      <c r="D13" s="6">
        <f>S_adoptSuper_bear</f>
        <v>0.45</v>
      </c>
      <c r="E13" s="22">
        <f>S_callsScale_bear</f>
        <v>1.3</v>
      </c>
      <c r="F13" s="25">
        <f t="shared" si="1"/>
        <v>4</v>
      </c>
      <c r="G13" s="6">
        <f t="shared" si="2"/>
        <v>0.4</v>
      </c>
      <c r="H13" s="4">
        <f t="shared" si="3"/>
        <v>3</v>
      </c>
      <c r="I13" s="6">
        <f>S_c_bear</f>
        <v>0.65</v>
      </c>
      <c r="J13" s="4">
        <f t="shared" si="4"/>
        <v>1500</v>
      </c>
      <c r="K13" s="6">
        <f t="shared" si="5"/>
        <v>1</v>
      </c>
      <c r="L13" s="4">
        <f>IdxMini</f>
        <v>5</v>
      </c>
      <c r="M13" s="4">
        <f>PlanCap</f>
        <v>20</v>
      </c>
      <c r="N13" s="6">
        <f>0</f>
        <v>0</v>
      </c>
      <c r="O13" s="25">
        <f t="shared" si="6"/>
        <v>12</v>
      </c>
      <c r="P13" s="25">
        <f t="shared" si="7"/>
        <v>960</v>
      </c>
      <c r="Q13" s="25">
        <f t="shared" si="8"/>
        <v>2880</v>
      </c>
      <c r="R13" s="25">
        <f t="shared" si="9"/>
        <v>21120</v>
      </c>
      <c r="S13" s="25">
        <f t="shared" si="10"/>
        <v>18000</v>
      </c>
      <c r="T13" s="30">
        <f t="shared" si="11"/>
        <v>10</v>
      </c>
      <c r="U13" s="30">
        <f t="shared" si="12"/>
        <v>0.3</v>
      </c>
      <c r="V13" s="30">
        <f t="shared" si="13"/>
        <v>20</v>
      </c>
      <c r="W13" s="30">
        <f t="shared" si="14"/>
        <v>0.6</v>
      </c>
      <c r="X13" s="30">
        <f t="shared" si="15"/>
        <v>0.06</v>
      </c>
      <c r="Y13" s="7">
        <f t="shared" si="16"/>
        <v>0.1497204</v>
      </c>
      <c r="Z13" s="7">
        <f t="shared" si="17"/>
        <v>3.7430100000000001E-2</v>
      </c>
      <c r="AA13" s="25">
        <f t="shared" si="18"/>
        <v>10.4</v>
      </c>
      <c r="AB13" s="25">
        <f t="shared" si="19"/>
        <v>31.200000000000003</v>
      </c>
      <c r="AC13" s="25">
        <f t="shared" si="20"/>
        <v>104</v>
      </c>
      <c r="AD13" s="25">
        <f t="shared" si="21"/>
        <v>10.4</v>
      </c>
      <c r="AE13" s="25">
        <f t="shared" si="22"/>
        <v>20</v>
      </c>
      <c r="AF13" s="25">
        <f t="shared" si="23"/>
        <v>20</v>
      </c>
      <c r="AG13" s="25">
        <f t="shared" si="24"/>
        <v>15.2</v>
      </c>
      <c r="AH13" s="30">
        <f t="shared" si="25"/>
        <v>0.56893751999999997</v>
      </c>
      <c r="AI13" s="25">
        <f t="shared" si="26"/>
        <v>11340000</v>
      </c>
      <c r="AJ13" s="25">
        <f t="shared" si="27"/>
        <v>5103000</v>
      </c>
      <c r="AK13" s="33">
        <f t="shared" si="28"/>
        <v>8709864.4936800003</v>
      </c>
      <c r="AL13" s="33">
        <f t="shared" si="29"/>
        <v>0</v>
      </c>
      <c r="AM13" s="5">
        <f t="shared" si="30"/>
        <v>0.69860848875036285</v>
      </c>
    </row>
    <row r="14" spans="1:39" x14ac:dyDescent="0.45">
      <c r="A14" t="s">
        <v>403</v>
      </c>
      <c r="B14" t="s">
        <v>404</v>
      </c>
      <c r="C14" s="6">
        <f t="shared" si="0"/>
        <v>0.1</v>
      </c>
      <c r="D14" s="6">
        <f>S_adoptSuper_bear</f>
        <v>0.45</v>
      </c>
      <c r="E14" s="22">
        <f>S_callsScale_bear</f>
        <v>1.3</v>
      </c>
      <c r="F14" s="25">
        <f t="shared" si="1"/>
        <v>4</v>
      </c>
      <c r="G14" s="6">
        <f t="shared" si="2"/>
        <v>0.4</v>
      </c>
      <c r="H14" s="4">
        <f t="shared" si="3"/>
        <v>3</v>
      </c>
      <c r="I14" s="6">
        <f>S_c_bear</f>
        <v>0.65</v>
      </c>
      <c r="J14" s="4">
        <f t="shared" si="4"/>
        <v>1500</v>
      </c>
      <c r="K14" s="6">
        <f t="shared" si="5"/>
        <v>1</v>
      </c>
      <c r="L14" s="4">
        <f>IdxFlag</f>
        <v>6</v>
      </c>
      <c r="M14" s="4">
        <f>NoCap</f>
        <v>1000000</v>
      </c>
      <c r="N14" s="6">
        <f>PriceGpFlag</f>
        <v>0.13891337788265645</v>
      </c>
      <c r="O14" s="25">
        <f t="shared" si="6"/>
        <v>12</v>
      </c>
      <c r="P14" s="25">
        <f t="shared" si="7"/>
        <v>960</v>
      </c>
      <c r="Q14" s="25">
        <f t="shared" si="8"/>
        <v>2880</v>
      </c>
      <c r="R14" s="25">
        <f t="shared" si="9"/>
        <v>21120</v>
      </c>
      <c r="S14" s="25">
        <f t="shared" si="10"/>
        <v>18000</v>
      </c>
      <c r="T14" s="30">
        <f t="shared" si="11"/>
        <v>32</v>
      </c>
      <c r="U14" s="30">
        <f t="shared" si="12"/>
        <v>0.4</v>
      </c>
      <c r="V14" s="30">
        <f t="shared" si="13"/>
        <v>64</v>
      </c>
      <c r="W14" s="30">
        <f t="shared" si="14"/>
        <v>4</v>
      </c>
      <c r="X14" s="30">
        <f t="shared" si="15"/>
        <v>0.4</v>
      </c>
      <c r="Y14" s="7">
        <f t="shared" si="16"/>
        <v>0.48695519999999998</v>
      </c>
      <c r="Z14" s="7">
        <f t="shared" si="17"/>
        <v>0.12173879999999999</v>
      </c>
      <c r="AA14" s="25">
        <f t="shared" si="18"/>
        <v>10.4</v>
      </c>
      <c r="AB14" s="25">
        <f t="shared" si="19"/>
        <v>31.200000000000003</v>
      </c>
      <c r="AC14" s="25">
        <f t="shared" si="20"/>
        <v>104</v>
      </c>
      <c r="AD14" s="25">
        <f t="shared" si="21"/>
        <v>10.4</v>
      </c>
      <c r="AE14" s="25">
        <f t="shared" si="22"/>
        <v>31.200000000000003</v>
      </c>
      <c r="AF14" s="25">
        <f t="shared" si="23"/>
        <v>104</v>
      </c>
      <c r="AG14" s="25">
        <f t="shared" si="24"/>
        <v>31.72</v>
      </c>
      <c r="AH14" s="30">
        <f t="shared" si="25"/>
        <v>3.8615547359999995</v>
      </c>
      <c r="AI14" s="25">
        <f t="shared" si="26"/>
        <v>11340000</v>
      </c>
      <c r="AJ14" s="25">
        <f t="shared" si="27"/>
        <v>5103000</v>
      </c>
      <c r="AK14" s="33">
        <f t="shared" si="28"/>
        <v>59116541.453423992</v>
      </c>
      <c r="AL14" s="33">
        <f t="shared" si="29"/>
        <v>32260062.115756132</v>
      </c>
      <c r="AM14" s="5">
        <f t="shared" si="30"/>
        <v>0.54903751964572445</v>
      </c>
    </row>
    <row r="15" spans="1:39" x14ac:dyDescent="0.45">
      <c r="A15" t="s">
        <v>405</v>
      </c>
      <c r="B15" t="s">
        <v>386</v>
      </c>
      <c r="C15" s="6">
        <f t="shared" si="0"/>
        <v>0.1</v>
      </c>
      <c r="D15" s="6">
        <f>S_adoptSuper_base</f>
        <v>0.3</v>
      </c>
      <c r="E15" s="22">
        <f>S_callsScale_base</f>
        <v>1</v>
      </c>
      <c r="F15" s="25">
        <f t="shared" si="1"/>
        <v>4</v>
      </c>
      <c r="G15" s="6">
        <f t="shared" si="2"/>
        <v>0.4</v>
      </c>
      <c r="H15" s="4">
        <f t="shared" si="3"/>
        <v>3</v>
      </c>
      <c r="I15" s="6">
        <f>S_c_base</f>
        <v>0.8</v>
      </c>
      <c r="J15" s="4">
        <f t="shared" si="4"/>
        <v>1500</v>
      </c>
      <c r="K15" s="6">
        <f t="shared" si="5"/>
        <v>1</v>
      </c>
      <c r="L15" s="4">
        <f>IdxFlag</f>
        <v>6</v>
      </c>
      <c r="M15" s="4">
        <f>NoCap</f>
        <v>1000000</v>
      </c>
      <c r="N15" s="6">
        <f>0</f>
        <v>0</v>
      </c>
      <c r="O15" s="25">
        <f t="shared" si="6"/>
        <v>12</v>
      </c>
      <c r="P15" s="25">
        <f t="shared" si="7"/>
        <v>960</v>
      </c>
      <c r="Q15" s="25">
        <f t="shared" si="8"/>
        <v>2880</v>
      </c>
      <c r="R15" s="25">
        <f t="shared" si="9"/>
        <v>21120</v>
      </c>
      <c r="S15" s="25">
        <f t="shared" si="10"/>
        <v>18000</v>
      </c>
      <c r="T15" s="30">
        <f t="shared" si="11"/>
        <v>32</v>
      </c>
      <c r="U15" s="30">
        <f t="shared" si="12"/>
        <v>0.4</v>
      </c>
      <c r="V15" s="30">
        <f t="shared" si="13"/>
        <v>64</v>
      </c>
      <c r="W15" s="30">
        <f t="shared" si="14"/>
        <v>4</v>
      </c>
      <c r="X15" s="30">
        <f t="shared" si="15"/>
        <v>0.4</v>
      </c>
      <c r="Y15" s="7">
        <f t="shared" si="16"/>
        <v>0.37712639999999997</v>
      </c>
      <c r="Z15" s="7">
        <f t="shared" si="17"/>
        <v>9.4281599999999993E-2</v>
      </c>
      <c r="AA15" s="25">
        <f t="shared" si="18"/>
        <v>8</v>
      </c>
      <c r="AB15" s="25">
        <f t="shared" si="19"/>
        <v>24</v>
      </c>
      <c r="AC15" s="25">
        <f t="shared" si="20"/>
        <v>80</v>
      </c>
      <c r="AD15" s="25">
        <f t="shared" si="21"/>
        <v>8</v>
      </c>
      <c r="AE15" s="25">
        <f t="shared" si="22"/>
        <v>24</v>
      </c>
      <c r="AF15" s="25">
        <f t="shared" si="23"/>
        <v>80</v>
      </c>
      <c r="AG15" s="25">
        <f t="shared" si="24"/>
        <v>24.4</v>
      </c>
      <c r="AH15" s="30">
        <f t="shared" si="25"/>
        <v>2.3004710399999997</v>
      </c>
      <c r="AI15" s="25">
        <f t="shared" si="26"/>
        <v>11340000</v>
      </c>
      <c r="AJ15" s="25">
        <f t="shared" si="27"/>
        <v>3402000</v>
      </c>
      <c r="AK15" s="33">
        <f t="shared" si="28"/>
        <v>23478607.434239998</v>
      </c>
      <c r="AL15" s="33">
        <f t="shared" si="29"/>
        <v>0</v>
      </c>
      <c r="AM15" s="5">
        <f t="shared" si="30"/>
        <v>0.64912433728795993</v>
      </c>
    </row>
    <row r="16" spans="1:39" x14ac:dyDescent="0.45">
      <c r="A16" t="s">
        <v>406</v>
      </c>
      <c r="B16" t="s">
        <v>388</v>
      </c>
      <c r="C16" s="6">
        <f t="shared" si="0"/>
        <v>0.1</v>
      </c>
      <c r="D16" s="6">
        <f>S_adoptSuper_base</f>
        <v>0.3</v>
      </c>
      <c r="E16" s="22">
        <f>S_callsScale_base</f>
        <v>1</v>
      </c>
      <c r="F16" s="25">
        <f t="shared" si="1"/>
        <v>4</v>
      </c>
      <c r="G16" s="6">
        <f t="shared" si="2"/>
        <v>0.4</v>
      </c>
      <c r="H16" s="4">
        <f t="shared" si="3"/>
        <v>3</v>
      </c>
      <c r="I16" s="6">
        <f>S_c_base</f>
        <v>0.8</v>
      </c>
      <c r="J16" s="4">
        <f t="shared" si="4"/>
        <v>1500</v>
      </c>
      <c r="K16" s="6">
        <f t="shared" si="5"/>
        <v>1</v>
      </c>
      <c r="L16" s="4">
        <f>IdxMini</f>
        <v>5</v>
      </c>
      <c r="M16" s="4">
        <f>NoCap</f>
        <v>1000000</v>
      </c>
      <c r="N16" s="6">
        <f>0</f>
        <v>0</v>
      </c>
      <c r="O16" s="25">
        <f t="shared" si="6"/>
        <v>12</v>
      </c>
      <c r="P16" s="25">
        <f t="shared" si="7"/>
        <v>960</v>
      </c>
      <c r="Q16" s="25">
        <f t="shared" si="8"/>
        <v>2880</v>
      </c>
      <c r="R16" s="25">
        <f t="shared" si="9"/>
        <v>21120</v>
      </c>
      <c r="S16" s="25">
        <f t="shared" si="10"/>
        <v>18000</v>
      </c>
      <c r="T16" s="30">
        <f t="shared" si="11"/>
        <v>10</v>
      </c>
      <c r="U16" s="30">
        <f t="shared" si="12"/>
        <v>0.3</v>
      </c>
      <c r="V16" s="30">
        <f t="shared" si="13"/>
        <v>20</v>
      </c>
      <c r="W16" s="30">
        <f t="shared" si="14"/>
        <v>0.6</v>
      </c>
      <c r="X16" s="30">
        <f t="shared" si="15"/>
        <v>0.06</v>
      </c>
      <c r="Y16" s="7">
        <f t="shared" si="16"/>
        <v>0.11753279999999999</v>
      </c>
      <c r="Z16" s="7">
        <f t="shared" si="17"/>
        <v>2.9383199999999998E-2</v>
      </c>
      <c r="AA16" s="25">
        <f t="shared" si="18"/>
        <v>8</v>
      </c>
      <c r="AB16" s="25">
        <f t="shared" si="19"/>
        <v>24</v>
      </c>
      <c r="AC16" s="25">
        <f t="shared" si="20"/>
        <v>80</v>
      </c>
      <c r="AD16" s="25">
        <f t="shared" si="21"/>
        <v>8</v>
      </c>
      <c r="AE16" s="25">
        <f t="shared" si="22"/>
        <v>24</v>
      </c>
      <c r="AF16" s="25">
        <f t="shared" si="23"/>
        <v>80</v>
      </c>
      <c r="AG16" s="25">
        <f t="shared" si="24"/>
        <v>24.4</v>
      </c>
      <c r="AH16" s="30">
        <f t="shared" si="25"/>
        <v>0.71695007999999993</v>
      </c>
      <c r="AI16" s="25">
        <f t="shared" si="26"/>
        <v>11340000</v>
      </c>
      <c r="AJ16" s="25">
        <f t="shared" si="27"/>
        <v>3402000</v>
      </c>
      <c r="AK16" s="33">
        <f t="shared" si="28"/>
        <v>7317192.5164799988</v>
      </c>
      <c r="AL16" s="33">
        <f t="shared" si="29"/>
        <v>0</v>
      </c>
      <c r="AM16" s="5">
        <f t="shared" si="30"/>
        <v>0.70327477560595864</v>
      </c>
    </row>
    <row r="17" spans="1:39" x14ac:dyDescent="0.45">
      <c r="A17" t="s">
        <v>407</v>
      </c>
      <c r="B17" t="s">
        <v>390</v>
      </c>
      <c r="C17" s="6">
        <f t="shared" si="0"/>
        <v>0.1</v>
      </c>
      <c r="D17" s="6">
        <f>S_adoptSuper_base</f>
        <v>0.3</v>
      </c>
      <c r="E17" s="22">
        <f>S_callsScale_base</f>
        <v>1</v>
      </c>
      <c r="F17" s="25">
        <f t="shared" si="1"/>
        <v>4</v>
      </c>
      <c r="G17" s="6">
        <f t="shared" si="2"/>
        <v>0.4</v>
      </c>
      <c r="H17" s="4">
        <f t="shared" si="3"/>
        <v>3</v>
      </c>
      <c r="I17" s="6">
        <f>S_c_base</f>
        <v>0.8</v>
      </c>
      <c r="J17" s="4">
        <f t="shared" si="4"/>
        <v>1500</v>
      </c>
      <c r="K17" s="6">
        <f t="shared" si="5"/>
        <v>1</v>
      </c>
      <c r="L17" s="4">
        <f>IdxFlag</f>
        <v>6</v>
      </c>
      <c r="M17" s="4">
        <f>PlanCap</f>
        <v>20</v>
      </c>
      <c r="N17" s="6">
        <f>0</f>
        <v>0</v>
      </c>
      <c r="O17" s="25">
        <f t="shared" si="6"/>
        <v>12</v>
      </c>
      <c r="P17" s="25">
        <f t="shared" si="7"/>
        <v>960</v>
      </c>
      <c r="Q17" s="25">
        <f t="shared" si="8"/>
        <v>2880</v>
      </c>
      <c r="R17" s="25">
        <f t="shared" si="9"/>
        <v>21120</v>
      </c>
      <c r="S17" s="25">
        <f t="shared" si="10"/>
        <v>18000</v>
      </c>
      <c r="T17" s="30">
        <f t="shared" si="11"/>
        <v>32</v>
      </c>
      <c r="U17" s="30">
        <f t="shared" si="12"/>
        <v>0.4</v>
      </c>
      <c r="V17" s="30">
        <f t="shared" si="13"/>
        <v>64</v>
      </c>
      <c r="W17" s="30">
        <f t="shared" si="14"/>
        <v>4</v>
      </c>
      <c r="X17" s="30">
        <f t="shared" si="15"/>
        <v>0.4</v>
      </c>
      <c r="Y17" s="7">
        <f t="shared" si="16"/>
        <v>0.37712639999999997</v>
      </c>
      <c r="Z17" s="7">
        <f t="shared" si="17"/>
        <v>9.4281599999999993E-2</v>
      </c>
      <c r="AA17" s="25">
        <f t="shared" si="18"/>
        <v>8</v>
      </c>
      <c r="AB17" s="25">
        <f t="shared" si="19"/>
        <v>24</v>
      </c>
      <c r="AC17" s="25">
        <f t="shared" si="20"/>
        <v>80</v>
      </c>
      <c r="AD17" s="25">
        <f t="shared" si="21"/>
        <v>8</v>
      </c>
      <c r="AE17" s="25">
        <f t="shared" si="22"/>
        <v>20</v>
      </c>
      <c r="AF17" s="25">
        <f t="shared" si="23"/>
        <v>20</v>
      </c>
      <c r="AG17" s="25">
        <f t="shared" si="24"/>
        <v>14</v>
      </c>
      <c r="AH17" s="30">
        <f t="shared" si="25"/>
        <v>1.3199424</v>
      </c>
      <c r="AI17" s="25">
        <f t="shared" si="26"/>
        <v>11340000</v>
      </c>
      <c r="AJ17" s="25">
        <f t="shared" si="27"/>
        <v>3402000</v>
      </c>
      <c r="AK17" s="33">
        <f t="shared" si="28"/>
        <v>13471332.134400001</v>
      </c>
      <c r="AL17" s="33">
        <f t="shared" si="29"/>
        <v>0</v>
      </c>
      <c r="AM17" s="5">
        <f t="shared" si="30"/>
        <v>0.68265471483304219</v>
      </c>
    </row>
    <row r="18" spans="1:39" x14ac:dyDescent="0.45">
      <c r="A18" t="s">
        <v>408</v>
      </c>
      <c r="B18" t="s">
        <v>392</v>
      </c>
      <c r="C18" s="6">
        <f t="shared" si="0"/>
        <v>0.1</v>
      </c>
      <c r="D18" s="6">
        <f>S_adoptSuper_base</f>
        <v>0.3</v>
      </c>
      <c r="E18" s="22">
        <f>S_callsScale_base</f>
        <v>1</v>
      </c>
      <c r="F18" s="25">
        <f t="shared" si="1"/>
        <v>4</v>
      </c>
      <c r="G18" s="6">
        <f t="shared" si="2"/>
        <v>0.4</v>
      </c>
      <c r="H18" s="4">
        <f t="shared" si="3"/>
        <v>3</v>
      </c>
      <c r="I18" s="6">
        <f>S_c_base</f>
        <v>0.8</v>
      </c>
      <c r="J18" s="4">
        <f t="shared" si="4"/>
        <v>1500</v>
      </c>
      <c r="K18" s="6">
        <f t="shared" si="5"/>
        <v>1</v>
      </c>
      <c r="L18" s="4">
        <f>IdxMini</f>
        <v>5</v>
      </c>
      <c r="M18" s="4">
        <f>PlanCap</f>
        <v>20</v>
      </c>
      <c r="N18" s="6">
        <f>0</f>
        <v>0</v>
      </c>
      <c r="O18" s="25">
        <f t="shared" si="6"/>
        <v>12</v>
      </c>
      <c r="P18" s="25">
        <f t="shared" si="7"/>
        <v>960</v>
      </c>
      <c r="Q18" s="25">
        <f t="shared" si="8"/>
        <v>2880</v>
      </c>
      <c r="R18" s="25">
        <f t="shared" si="9"/>
        <v>21120</v>
      </c>
      <c r="S18" s="25">
        <f t="shared" si="10"/>
        <v>18000</v>
      </c>
      <c r="T18" s="30">
        <f t="shared" si="11"/>
        <v>10</v>
      </c>
      <c r="U18" s="30">
        <f t="shared" si="12"/>
        <v>0.3</v>
      </c>
      <c r="V18" s="30">
        <f t="shared" si="13"/>
        <v>20</v>
      </c>
      <c r="W18" s="30">
        <f t="shared" si="14"/>
        <v>0.6</v>
      </c>
      <c r="X18" s="30">
        <f t="shared" si="15"/>
        <v>0.06</v>
      </c>
      <c r="Y18" s="7">
        <f t="shared" si="16"/>
        <v>0.11753279999999999</v>
      </c>
      <c r="Z18" s="7">
        <f t="shared" si="17"/>
        <v>2.9383199999999998E-2</v>
      </c>
      <c r="AA18" s="25">
        <f t="shared" si="18"/>
        <v>8</v>
      </c>
      <c r="AB18" s="25">
        <f t="shared" si="19"/>
        <v>24</v>
      </c>
      <c r="AC18" s="25">
        <f t="shared" si="20"/>
        <v>80</v>
      </c>
      <c r="AD18" s="25">
        <f t="shared" si="21"/>
        <v>8</v>
      </c>
      <c r="AE18" s="25">
        <f t="shared" si="22"/>
        <v>20</v>
      </c>
      <c r="AF18" s="25">
        <f t="shared" si="23"/>
        <v>20</v>
      </c>
      <c r="AG18" s="25">
        <f t="shared" si="24"/>
        <v>14</v>
      </c>
      <c r="AH18" s="30">
        <f t="shared" si="25"/>
        <v>0.41136479999999997</v>
      </c>
      <c r="AI18" s="25">
        <f t="shared" si="26"/>
        <v>11340000</v>
      </c>
      <c r="AJ18" s="25">
        <f t="shared" si="27"/>
        <v>3402000</v>
      </c>
      <c r="AK18" s="33">
        <f t="shared" si="28"/>
        <v>4198389.1488000005</v>
      </c>
      <c r="AL18" s="33">
        <f t="shared" si="29"/>
        <v>0</v>
      </c>
      <c r="AM18" s="5">
        <f t="shared" si="30"/>
        <v>0.71372463845812351</v>
      </c>
    </row>
    <row r="19" spans="1:39" x14ac:dyDescent="0.45">
      <c r="A19" t="s">
        <v>409</v>
      </c>
      <c r="B19" t="s">
        <v>394</v>
      </c>
      <c r="C19" s="6">
        <f t="shared" si="0"/>
        <v>0.1</v>
      </c>
      <c r="D19" s="6">
        <f>S_adoptSuper_base</f>
        <v>0.3</v>
      </c>
      <c r="E19" s="22">
        <f>S_callsScale_base</f>
        <v>1</v>
      </c>
      <c r="F19" s="25">
        <f t="shared" si="1"/>
        <v>4</v>
      </c>
      <c r="G19" s="6">
        <f t="shared" si="2"/>
        <v>0.4</v>
      </c>
      <c r="H19" s="4">
        <f t="shared" si="3"/>
        <v>3</v>
      </c>
      <c r="I19" s="6">
        <f>S_c_base</f>
        <v>0.8</v>
      </c>
      <c r="J19" s="4">
        <f t="shared" si="4"/>
        <v>1500</v>
      </c>
      <c r="K19" s="6">
        <f t="shared" si="5"/>
        <v>1</v>
      </c>
      <c r="L19" s="4">
        <f>IdxFlag</f>
        <v>6</v>
      </c>
      <c r="M19" s="4">
        <f>NoCap</f>
        <v>1000000</v>
      </c>
      <c r="N19" s="6">
        <f>PriceGpFlag</f>
        <v>0.13891337788265645</v>
      </c>
      <c r="O19" s="25">
        <f t="shared" si="6"/>
        <v>12</v>
      </c>
      <c r="P19" s="25">
        <f t="shared" si="7"/>
        <v>960</v>
      </c>
      <c r="Q19" s="25">
        <f t="shared" si="8"/>
        <v>2880</v>
      </c>
      <c r="R19" s="25">
        <f t="shared" si="9"/>
        <v>21120</v>
      </c>
      <c r="S19" s="25">
        <f t="shared" si="10"/>
        <v>18000</v>
      </c>
      <c r="T19" s="30">
        <f t="shared" si="11"/>
        <v>32</v>
      </c>
      <c r="U19" s="30">
        <f t="shared" si="12"/>
        <v>0.4</v>
      </c>
      <c r="V19" s="30">
        <f t="shared" si="13"/>
        <v>64</v>
      </c>
      <c r="W19" s="30">
        <f t="shared" si="14"/>
        <v>4</v>
      </c>
      <c r="X19" s="30">
        <f t="shared" si="15"/>
        <v>0.4</v>
      </c>
      <c r="Y19" s="7">
        <f t="shared" si="16"/>
        <v>0.37712639999999997</v>
      </c>
      <c r="Z19" s="7">
        <f t="shared" si="17"/>
        <v>9.4281599999999993E-2</v>
      </c>
      <c r="AA19" s="25">
        <f t="shared" si="18"/>
        <v>8</v>
      </c>
      <c r="AB19" s="25">
        <f t="shared" si="19"/>
        <v>24</v>
      </c>
      <c r="AC19" s="25">
        <f t="shared" si="20"/>
        <v>80</v>
      </c>
      <c r="AD19" s="25">
        <f t="shared" si="21"/>
        <v>8</v>
      </c>
      <c r="AE19" s="25">
        <f t="shared" si="22"/>
        <v>24</v>
      </c>
      <c r="AF19" s="25">
        <f t="shared" si="23"/>
        <v>80</v>
      </c>
      <c r="AG19" s="25">
        <f t="shared" si="24"/>
        <v>24.4</v>
      </c>
      <c r="AH19" s="30">
        <f t="shared" si="25"/>
        <v>2.3004710399999997</v>
      </c>
      <c r="AI19" s="25">
        <f t="shared" si="26"/>
        <v>11340000</v>
      </c>
      <c r="AJ19" s="25">
        <f t="shared" si="27"/>
        <v>3402000</v>
      </c>
      <c r="AK19" s="33">
        <f t="shared" si="28"/>
        <v>23478607.434239998</v>
      </c>
      <c r="AL19" s="33">
        <f t="shared" si="29"/>
        <v>32260062.115756132</v>
      </c>
      <c r="AM19" s="5">
        <f t="shared" si="30"/>
        <v>0.6567980841381712</v>
      </c>
    </row>
    <row r="20" spans="1:39" x14ac:dyDescent="0.45">
      <c r="A20" t="s">
        <v>410</v>
      </c>
      <c r="B20" t="s">
        <v>411</v>
      </c>
      <c r="C20" s="6">
        <f t="shared" si="0"/>
        <v>0.1</v>
      </c>
      <c r="D20" s="6">
        <f>S_adoptSuper_bull</f>
        <v>0.2</v>
      </c>
      <c r="E20" s="22">
        <f>S_callsScale_bull</f>
        <v>0.8</v>
      </c>
      <c r="F20" s="25">
        <f t="shared" si="1"/>
        <v>4</v>
      </c>
      <c r="G20" s="6">
        <f t="shared" si="2"/>
        <v>0.4</v>
      </c>
      <c r="H20" s="4">
        <f t="shared" si="3"/>
        <v>3</v>
      </c>
      <c r="I20" s="6">
        <f>S_c_bull</f>
        <v>0.9</v>
      </c>
      <c r="J20" s="4">
        <f t="shared" si="4"/>
        <v>1500</v>
      </c>
      <c r="K20" s="6">
        <f t="shared" si="5"/>
        <v>1</v>
      </c>
      <c r="L20" s="4">
        <f>IdxFlag</f>
        <v>6</v>
      </c>
      <c r="M20" s="4">
        <f>NoCap</f>
        <v>1000000</v>
      </c>
      <c r="N20" s="6">
        <f>0</f>
        <v>0</v>
      </c>
      <c r="O20" s="25">
        <f t="shared" si="6"/>
        <v>12</v>
      </c>
      <c r="P20" s="25">
        <f t="shared" si="7"/>
        <v>960</v>
      </c>
      <c r="Q20" s="25">
        <f t="shared" si="8"/>
        <v>2880</v>
      </c>
      <c r="R20" s="25">
        <f t="shared" si="9"/>
        <v>21120</v>
      </c>
      <c r="S20" s="25">
        <f t="shared" si="10"/>
        <v>18000</v>
      </c>
      <c r="T20" s="30">
        <f t="shared" si="11"/>
        <v>32</v>
      </c>
      <c r="U20" s="30">
        <f t="shared" si="12"/>
        <v>0.4</v>
      </c>
      <c r="V20" s="30">
        <f t="shared" si="13"/>
        <v>64</v>
      </c>
      <c r="W20" s="30">
        <f t="shared" si="14"/>
        <v>4</v>
      </c>
      <c r="X20" s="30">
        <f t="shared" si="15"/>
        <v>0.4</v>
      </c>
      <c r="Y20" s="7">
        <f t="shared" si="16"/>
        <v>0.30390719999999993</v>
      </c>
      <c r="Z20" s="7">
        <f t="shared" si="17"/>
        <v>7.5976799999999983E-2</v>
      </c>
      <c r="AA20" s="25">
        <f t="shared" si="18"/>
        <v>6.4</v>
      </c>
      <c r="AB20" s="25">
        <f t="shared" si="19"/>
        <v>19.200000000000003</v>
      </c>
      <c r="AC20" s="25">
        <f t="shared" si="20"/>
        <v>64</v>
      </c>
      <c r="AD20" s="25">
        <f t="shared" si="21"/>
        <v>6.4</v>
      </c>
      <c r="AE20" s="25">
        <f t="shared" si="22"/>
        <v>19.200000000000003</v>
      </c>
      <c r="AF20" s="25">
        <f t="shared" si="23"/>
        <v>64</v>
      </c>
      <c r="AG20" s="25">
        <f t="shared" si="24"/>
        <v>19.520000000000003</v>
      </c>
      <c r="AH20" s="30">
        <f t="shared" si="25"/>
        <v>1.4830671359999998</v>
      </c>
      <c r="AI20" s="25">
        <f t="shared" si="26"/>
        <v>11340000</v>
      </c>
      <c r="AJ20" s="25">
        <f t="shared" si="27"/>
        <v>2268000</v>
      </c>
      <c r="AK20" s="33">
        <f t="shared" si="28"/>
        <v>10090788.793343998</v>
      </c>
      <c r="AL20" s="33">
        <f t="shared" si="29"/>
        <v>0</v>
      </c>
      <c r="AM20" s="5">
        <f t="shared" si="30"/>
        <v>0.69398156366420549</v>
      </c>
    </row>
    <row r="21" spans="1:39" x14ac:dyDescent="0.45">
      <c r="A21" t="s">
        <v>412</v>
      </c>
      <c r="B21" t="s">
        <v>413</v>
      </c>
      <c r="C21" s="6">
        <f t="shared" si="0"/>
        <v>0.1</v>
      </c>
      <c r="D21" s="6">
        <f>S_adoptSuper_bull</f>
        <v>0.2</v>
      </c>
      <c r="E21" s="22">
        <f>S_callsScale_bull</f>
        <v>0.8</v>
      </c>
      <c r="F21" s="25">
        <f t="shared" si="1"/>
        <v>4</v>
      </c>
      <c r="G21" s="6">
        <f t="shared" si="2"/>
        <v>0.4</v>
      </c>
      <c r="H21" s="4">
        <f t="shared" si="3"/>
        <v>3</v>
      </c>
      <c r="I21" s="6">
        <f>S_c_bull</f>
        <v>0.9</v>
      </c>
      <c r="J21" s="4">
        <f t="shared" si="4"/>
        <v>1500</v>
      </c>
      <c r="K21" s="6">
        <f t="shared" si="5"/>
        <v>1</v>
      </c>
      <c r="L21" s="4">
        <f>IdxMini</f>
        <v>5</v>
      </c>
      <c r="M21" s="4">
        <f>NoCap</f>
        <v>1000000</v>
      </c>
      <c r="N21" s="6">
        <f>0</f>
        <v>0</v>
      </c>
      <c r="O21" s="25">
        <f t="shared" si="6"/>
        <v>12</v>
      </c>
      <c r="P21" s="25">
        <f t="shared" si="7"/>
        <v>960</v>
      </c>
      <c r="Q21" s="25">
        <f t="shared" si="8"/>
        <v>2880</v>
      </c>
      <c r="R21" s="25">
        <f t="shared" si="9"/>
        <v>21120</v>
      </c>
      <c r="S21" s="25">
        <f t="shared" si="10"/>
        <v>18000</v>
      </c>
      <c r="T21" s="30">
        <f t="shared" si="11"/>
        <v>10</v>
      </c>
      <c r="U21" s="30">
        <f t="shared" si="12"/>
        <v>0.3</v>
      </c>
      <c r="V21" s="30">
        <f t="shared" si="13"/>
        <v>20</v>
      </c>
      <c r="W21" s="30">
        <f t="shared" si="14"/>
        <v>0.6</v>
      </c>
      <c r="X21" s="30">
        <f t="shared" si="15"/>
        <v>0.06</v>
      </c>
      <c r="Y21" s="7">
        <f t="shared" si="16"/>
        <v>9.607439999999999E-2</v>
      </c>
      <c r="Z21" s="7">
        <f t="shared" si="17"/>
        <v>2.4018599999999998E-2</v>
      </c>
      <c r="AA21" s="25">
        <f t="shared" si="18"/>
        <v>6.4</v>
      </c>
      <c r="AB21" s="25">
        <f t="shared" si="19"/>
        <v>19.200000000000003</v>
      </c>
      <c r="AC21" s="25">
        <f t="shared" si="20"/>
        <v>64</v>
      </c>
      <c r="AD21" s="25">
        <f t="shared" si="21"/>
        <v>6.4</v>
      </c>
      <c r="AE21" s="25">
        <f t="shared" si="22"/>
        <v>19.200000000000003</v>
      </c>
      <c r="AF21" s="25">
        <f t="shared" si="23"/>
        <v>64</v>
      </c>
      <c r="AG21" s="25">
        <f t="shared" si="24"/>
        <v>19.520000000000003</v>
      </c>
      <c r="AH21" s="30">
        <f t="shared" si="25"/>
        <v>0.46884307200000003</v>
      </c>
      <c r="AI21" s="25">
        <f t="shared" si="26"/>
        <v>11340000</v>
      </c>
      <c r="AJ21" s="25">
        <f t="shared" si="27"/>
        <v>2268000</v>
      </c>
      <c r="AK21" s="33">
        <f t="shared" si="28"/>
        <v>3190008.2618880002</v>
      </c>
      <c r="AL21" s="33">
        <f t="shared" si="29"/>
        <v>0</v>
      </c>
      <c r="AM21" s="5">
        <f t="shared" si="30"/>
        <v>0.71710331955106243</v>
      </c>
    </row>
    <row r="22" spans="1:39" x14ac:dyDescent="0.45">
      <c r="A22" t="s">
        <v>414</v>
      </c>
      <c r="B22" t="s">
        <v>415</v>
      </c>
      <c r="C22" s="6">
        <f t="shared" si="0"/>
        <v>0.1</v>
      </c>
      <c r="D22" s="6">
        <f>S_adoptSuper_bull</f>
        <v>0.2</v>
      </c>
      <c r="E22" s="22">
        <f>S_callsScale_bull</f>
        <v>0.8</v>
      </c>
      <c r="F22" s="25">
        <f t="shared" si="1"/>
        <v>4</v>
      </c>
      <c r="G22" s="6">
        <f t="shared" si="2"/>
        <v>0.4</v>
      </c>
      <c r="H22" s="4">
        <f t="shared" si="3"/>
        <v>3</v>
      </c>
      <c r="I22" s="6">
        <f>S_c_bull</f>
        <v>0.9</v>
      </c>
      <c r="J22" s="4">
        <f t="shared" si="4"/>
        <v>1500</v>
      </c>
      <c r="K22" s="6">
        <f t="shared" si="5"/>
        <v>1</v>
      </c>
      <c r="L22" s="4">
        <f>IdxFlag</f>
        <v>6</v>
      </c>
      <c r="M22" s="4">
        <f>PlanCap</f>
        <v>20</v>
      </c>
      <c r="N22" s="6">
        <f>0</f>
        <v>0</v>
      </c>
      <c r="O22" s="25">
        <f t="shared" si="6"/>
        <v>12</v>
      </c>
      <c r="P22" s="25">
        <f t="shared" si="7"/>
        <v>960</v>
      </c>
      <c r="Q22" s="25">
        <f t="shared" si="8"/>
        <v>2880</v>
      </c>
      <c r="R22" s="25">
        <f t="shared" si="9"/>
        <v>21120</v>
      </c>
      <c r="S22" s="25">
        <f t="shared" si="10"/>
        <v>18000</v>
      </c>
      <c r="T22" s="30">
        <f t="shared" si="11"/>
        <v>32</v>
      </c>
      <c r="U22" s="30">
        <f t="shared" si="12"/>
        <v>0.4</v>
      </c>
      <c r="V22" s="30">
        <f t="shared" si="13"/>
        <v>64</v>
      </c>
      <c r="W22" s="30">
        <f t="shared" si="14"/>
        <v>4</v>
      </c>
      <c r="X22" s="30">
        <f t="shared" si="15"/>
        <v>0.4</v>
      </c>
      <c r="Y22" s="7">
        <f t="shared" si="16"/>
        <v>0.30390719999999993</v>
      </c>
      <c r="Z22" s="7">
        <f t="shared" si="17"/>
        <v>7.5976799999999983E-2</v>
      </c>
      <c r="AA22" s="25">
        <f t="shared" si="18"/>
        <v>6.4</v>
      </c>
      <c r="AB22" s="25">
        <f t="shared" si="19"/>
        <v>19.200000000000003</v>
      </c>
      <c r="AC22" s="25">
        <f t="shared" si="20"/>
        <v>64</v>
      </c>
      <c r="AD22" s="25">
        <f t="shared" si="21"/>
        <v>6.4</v>
      </c>
      <c r="AE22" s="25">
        <f t="shared" si="22"/>
        <v>19.200000000000003</v>
      </c>
      <c r="AF22" s="25">
        <f t="shared" si="23"/>
        <v>20</v>
      </c>
      <c r="AG22" s="25">
        <f t="shared" si="24"/>
        <v>12.920000000000002</v>
      </c>
      <c r="AH22" s="30">
        <f t="shared" si="25"/>
        <v>0.98162025599999991</v>
      </c>
      <c r="AI22" s="25">
        <f t="shared" si="26"/>
        <v>11340000</v>
      </c>
      <c r="AJ22" s="25">
        <f t="shared" si="27"/>
        <v>2268000</v>
      </c>
      <c r="AK22" s="33">
        <f t="shared" si="28"/>
        <v>6678944.2218239997</v>
      </c>
      <c r="AL22" s="33">
        <f t="shared" si="29"/>
        <v>0</v>
      </c>
      <c r="AM22" s="5">
        <f t="shared" si="30"/>
        <v>0.70541329040105605</v>
      </c>
    </row>
    <row r="23" spans="1:39" x14ac:dyDescent="0.45">
      <c r="A23" t="s">
        <v>416</v>
      </c>
      <c r="B23" t="s">
        <v>417</v>
      </c>
      <c r="C23" s="6">
        <f t="shared" si="0"/>
        <v>0.1</v>
      </c>
      <c r="D23" s="6">
        <f>S_adoptSuper_bull</f>
        <v>0.2</v>
      </c>
      <c r="E23" s="22">
        <f>S_callsScale_bull</f>
        <v>0.8</v>
      </c>
      <c r="F23" s="25">
        <f t="shared" si="1"/>
        <v>4</v>
      </c>
      <c r="G23" s="6">
        <f t="shared" si="2"/>
        <v>0.4</v>
      </c>
      <c r="H23" s="4">
        <f t="shared" si="3"/>
        <v>3</v>
      </c>
      <c r="I23" s="6">
        <f>S_c_bull</f>
        <v>0.9</v>
      </c>
      <c r="J23" s="4">
        <f t="shared" si="4"/>
        <v>1500</v>
      </c>
      <c r="K23" s="6">
        <f t="shared" si="5"/>
        <v>1</v>
      </c>
      <c r="L23" s="4">
        <f>IdxMini</f>
        <v>5</v>
      </c>
      <c r="M23" s="4">
        <f>PlanCap</f>
        <v>20</v>
      </c>
      <c r="N23" s="6">
        <f>0</f>
        <v>0</v>
      </c>
      <c r="O23" s="25">
        <f t="shared" si="6"/>
        <v>12</v>
      </c>
      <c r="P23" s="25">
        <f t="shared" si="7"/>
        <v>960</v>
      </c>
      <c r="Q23" s="25">
        <f t="shared" si="8"/>
        <v>2880</v>
      </c>
      <c r="R23" s="25">
        <f t="shared" si="9"/>
        <v>21120</v>
      </c>
      <c r="S23" s="25">
        <f t="shared" si="10"/>
        <v>18000</v>
      </c>
      <c r="T23" s="30">
        <f t="shared" si="11"/>
        <v>10</v>
      </c>
      <c r="U23" s="30">
        <f t="shared" si="12"/>
        <v>0.3</v>
      </c>
      <c r="V23" s="30">
        <f t="shared" si="13"/>
        <v>20</v>
      </c>
      <c r="W23" s="30">
        <f t="shared" si="14"/>
        <v>0.6</v>
      </c>
      <c r="X23" s="30">
        <f t="shared" si="15"/>
        <v>0.06</v>
      </c>
      <c r="Y23" s="7">
        <f t="shared" si="16"/>
        <v>9.607439999999999E-2</v>
      </c>
      <c r="Z23" s="7">
        <f t="shared" si="17"/>
        <v>2.4018599999999998E-2</v>
      </c>
      <c r="AA23" s="25">
        <f t="shared" si="18"/>
        <v>6.4</v>
      </c>
      <c r="AB23" s="25">
        <f t="shared" si="19"/>
        <v>19.200000000000003</v>
      </c>
      <c r="AC23" s="25">
        <f t="shared" si="20"/>
        <v>64</v>
      </c>
      <c r="AD23" s="25">
        <f t="shared" si="21"/>
        <v>6.4</v>
      </c>
      <c r="AE23" s="25">
        <f t="shared" si="22"/>
        <v>19.200000000000003</v>
      </c>
      <c r="AF23" s="25">
        <f t="shared" si="23"/>
        <v>20</v>
      </c>
      <c r="AG23" s="25">
        <f t="shared" si="24"/>
        <v>12.920000000000002</v>
      </c>
      <c r="AH23" s="30">
        <f t="shared" si="25"/>
        <v>0.31032031199999999</v>
      </c>
      <c r="AI23" s="25">
        <f t="shared" si="26"/>
        <v>11340000</v>
      </c>
      <c r="AJ23" s="25">
        <f t="shared" si="27"/>
        <v>2268000</v>
      </c>
      <c r="AK23" s="33">
        <f t="shared" si="28"/>
        <v>2111419.4028479997</v>
      </c>
      <c r="AL23" s="33">
        <f t="shared" si="29"/>
        <v>0</v>
      </c>
      <c r="AM23" s="5">
        <f t="shared" si="30"/>
        <v>0.72071723948190602</v>
      </c>
    </row>
    <row r="24" spans="1:39" x14ac:dyDescent="0.45">
      <c r="A24" t="s">
        <v>418</v>
      </c>
      <c r="B24" t="s">
        <v>419</v>
      </c>
      <c r="C24" s="6">
        <f t="shared" si="0"/>
        <v>0.1</v>
      </c>
      <c r="D24" s="6">
        <f>S_adoptSuper_bull</f>
        <v>0.2</v>
      </c>
      <c r="E24" s="22">
        <f>S_callsScale_bull</f>
        <v>0.8</v>
      </c>
      <c r="F24" s="25">
        <f t="shared" si="1"/>
        <v>4</v>
      </c>
      <c r="G24" s="6">
        <f t="shared" si="2"/>
        <v>0.4</v>
      </c>
      <c r="H24" s="4">
        <f t="shared" si="3"/>
        <v>3</v>
      </c>
      <c r="I24" s="6">
        <f>S_c_bull</f>
        <v>0.9</v>
      </c>
      <c r="J24" s="4">
        <f t="shared" si="4"/>
        <v>1500</v>
      </c>
      <c r="K24" s="6">
        <f t="shared" si="5"/>
        <v>1</v>
      </c>
      <c r="L24" s="4">
        <f>IdxFlag</f>
        <v>6</v>
      </c>
      <c r="M24" s="4">
        <f>NoCap</f>
        <v>1000000</v>
      </c>
      <c r="N24" s="6">
        <f>PriceGpFlag</f>
        <v>0.13891337788265645</v>
      </c>
      <c r="O24" s="25">
        <f t="shared" si="6"/>
        <v>12</v>
      </c>
      <c r="P24" s="25">
        <f t="shared" si="7"/>
        <v>960</v>
      </c>
      <c r="Q24" s="25">
        <f t="shared" si="8"/>
        <v>2880</v>
      </c>
      <c r="R24" s="25">
        <f t="shared" si="9"/>
        <v>21120</v>
      </c>
      <c r="S24" s="25">
        <f t="shared" si="10"/>
        <v>18000</v>
      </c>
      <c r="T24" s="30">
        <f t="shared" si="11"/>
        <v>32</v>
      </c>
      <c r="U24" s="30">
        <f t="shared" si="12"/>
        <v>0.4</v>
      </c>
      <c r="V24" s="30">
        <f t="shared" si="13"/>
        <v>64</v>
      </c>
      <c r="W24" s="30">
        <f t="shared" si="14"/>
        <v>4</v>
      </c>
      <c r="X24" s="30">
        <f t="shared" si="15"/>
        <v>0.4</v>
      </c>
      <c r="Y24" s="7">
        <f t="shared" si="16"/>
        <v>0.30390719999999993</v>
      </c>
      <c r="Z24" s="7">
        <f t="shared" si="17"/>
        <v>7.5976799999999983E-2</v>
      </c>
      <c r="AA24" s="25">
        <f t="shared" si="18"/>
        <v>6.4</v>
      </c>
      <c r="AB24" s="25">
        <f t="shared" si="19"/>
        <v>19.200000000000003</v>
      </c>
      <c r="AC24" s="25">
        <f t="shared" si="20"/>
        <v>64</v>
      </c>
      <c r="AD24" s="25">
        <f t="shared" si="21"/>
        <v>6.4</v>
      </c>
      <c r="AE24" s="25">
        <f t="shared" si="22"/>
        <v>19.200000000000003</v>
      </c>
      <c r="AF24" s="25">
        <f t="shared" si="23"/>
        <v>64</v>
      </c>
      <c r="AG24" s="25">
        <f t="shared" si="24"/>
        <v>19.520000000000003</v>
      </c>
      <c r="AH24" s="30">
        <f t="shared" si="25"/>
        <v>1.4830671359999998</v>
      </c>
      <c r="AI24" s="25">
        <f t="shared" si="26"/>
        <v>11340000</v>
      </c>
      <c r="AJ24" s="25">
        <f t="shared" si="27"/>
        <v>2268000</v>
      </c>
      <c r="AK24" s="33">
        <f t="shared" si="28"/>
        <v>10090788.793343998</v>
      </c>
      <c r="AL24" s="33">
        <f t="shared" si="29"/>
        <v>32260062.115756132</v>
      </c>
      <c r="AM24" s="5">
        <f t="shared" si="30"/>
        <v>0.6972796365561329</v>
      </c>
    </row>
    <row r="25" spans="1:39" x14ac:dyDescent="0.45">
      <c r="A25" t="s">
        <v>420</v>
      </c>
      <c r="B25" t="s">
        <v>421</v>
      </c>
      <c r="C25" s="6">
        <f>J_maxShare_lo</f>
        <v>7.0000000000000007E-2</v>
      </c>
      <c r="D25" s="6">
        <f>D_adoptSuper</f>
        <v>0.3</v>
      </c>
      <c r="E25" s="22">
        <f>D_callsScale</f>
        <v>1</v>
      </c>
      <c r="F25" s="25">
        <f t="shared" si="1"/>
        <v>4</v>
      </c>
      <c r="G25" s="6">
        <f t="shared" si="2"/>
        <v>0.4</v>
      </c>
      <c r="H25" s="4">
        <f t="shared" si="3"/>
        <v>3</v>
      </c>
      <c r="I25" s="6">
        <f t="shared" ref="I25:I36" si="31">D_c</f>
        <v>0.8</v>
      </c>
      <c r="J25" s="4">
        <f t="shared" si="4"/>
        <v>1500</v>
      </c>
      <c r="K25" s="6">
        <f t="shared" si="5"/>
        <v>1</v>
      </c>
      <c r="L25" s="4">
        <f t="shared" ref="L25:L68" si="32">IdxMini</f>
        <v>5</v>
      </c>
      <c r="M25" s="4">
        <f t="shared" ref="M25:M67" si="33">PlanCap</f>
        <v>20</v>
      </c>
      <c r="N25" s="6">
        <f>0</f>
        <v>0</v>
      </c>
      <c r="O25" s="25">
        <f t="shared" si="6"/>
        <v>12</v>
      </c>
      <c r="P25" s="25">
        <f t="shared" si="7"/>
        <v>960</v>
      </c>
      <c r="Q25" s="25">
        <f t="shared" si="8"/>
        <v>2880</v>
      </c>
      <c r="R25" s="25">
        <f t="shared" si="9"/>
        <v>21120</v>
      </c>
      <c r="S25" s="25">
        <f t="shared" si="10"/>
        <v>18000</v>
      </c>
      <c r="T25" s="30">
        <f t="shared" si="11"/>
        <v>10</v>
      </c>
      <c r="U25" s="30">
        <f t="shared" si="12"/>
        <v>0.3</v>
      </c>
      <c r="V25" s="30">
        <f t="shared" si="13"/>
        <v>20</v>
      </c>
      <c r="W25" s="30">
        <f t="shared" si="14"/>
        <v>0.6</v>
      </c>
      <c r="X25" s="30">
        <f t="shared" si="15"/>
        <v>0.06</v>
      </c>
      <c r="Y25" s="7">
        <f t="shared" si="16"/>
        <v>0.11753279999999999</v>
      </c>
      <c r="Z25" s="7">
        <f t="shared" si="17"/>
        <v>2.9383199999999998E-2</v>
      </c>
      <c r="AA25" s="25">
        <f t="shared" si="18"/>
        <v>8</v>
      </c>
      <c r="AB25" s="25">
        <f t="shared" si="19"/>
        <v>24</v>
      </c>
      <c r="AC25" s="25">
        <f t="shared" si="20"/>
        <v>80</v>
      </c>
      <c r="AD25" s="25">
        <f t="shared" si="21"/>
        <v>8</v>
      </c>
      <c r="AE25" s="25">
        <f t="shared" si="22"/>
        <v>20</v>
      </c>
      <c r="AF25" s="25">
        <f t="shared" si="23"/>
        <v>20</v>
      </c>
      <c r="AG25" s="25">
        <f t="shared" si="24"/>
        <v>14</v>
      </c>
      <c r="AH25" s="30">
        <f t="shared" si="25"/>
        <v>0.41136479999999997</v>
      </c>
      <c r="AI25" s="25">
        <f t="shared" si="26"/>
        <v>11718000</v>
      </c>
      <c r="AJ25" s="25">
        <f t="shared" si="27"/>
        <v>3515400</v>
      </c>
      <c r="AK25" s="33">
        <f t="shared" si="28"/>
        <v>4338335.4537599999</v>
      </c>
      <c r="AL25" s="33">
        <f t="shared" si="29"/>
        <v>0</v>
      </c>
      <c r="AM25" s="5">
        <f t="shared" si="30"/>
        <v>0.71325573435578271</v>
      </c>
    </row>
    <row r="26" spans="1:39" x14ac:dyDescent="0.45">
      <c r="A26" t="s">
        <v>422</v>
      </c>
      <c r="B26" t="s">
        <v>423</v>
      </c>
      <c r="C26" s="6">
        <f>J_maxShare_hi</f>
        <v>0.13</v>
      </c>
      <c r="D26" s="6">
        <f>D_adoptSuper</f>
        <v>0.3</v>
      </c>
      <c r="E26" s="22">
        <f>D_callsScale</f>
        <v>1</v>
      </c>
      <c r="F26" s="25">
        <f t="shared" si="1"/>
        <v>4</v>
      </c>
      <c r="G26" s="6">
        <f t="shared" si="2"/>
        <v>0.4</v>
      </c>
      <c r="H26" s="4">
        <f t="shared" si="3"/>
        <v>3</v>
      </c>
      <c r="I26" s="6">
        <f t="shared" si="31"/>
        <v>0.8</v>
      </c>
      <c r="J26" s="4">
        <f t="shared" si="4"/>
        <v>1500</v>
      </c>
      <c r="K26" s="6">
        <f t="shared" si="5"/>
        <v>1</v>
      </c>
      <c r="L26" s="4">
        <f t="shared" si="32"/>
        <v>5</v>
      </c>
      <c r="M26" s="4">
        <f t="shared" si="33"/>
        <v>20</v>
      </c>
      <c r="N26" s="6">
        <f>0</f>
        <v>0</v>
      </c>
      <c r="O26" s="25">
        <f t="shared" si="6"/>
        <v>12</v>
      </c>
      <c r="P26" s="25">
        <f t="shared" si="7"/>
        <v>960</v>
      </c>
      <c r="Q26" s="25">
        <f t="shared" si="8"/>
        <v>2880</v>
      </c>
      <c r="R26" s="25">
        <f t="shared" si="9"/>
        <v>21120</v>
      </c>
      <c r="S26" s="25">
        <f t="shared" si="10"/>
        <v>18000</v>
      </c>
      <c r="T26" s="30">
        <f t="shared" si="11"/>
        <v>10</v>
      </c>
      <c r="U26" s="30">
        <f t="shared" si="12"/>
        <v>0.3</v>
      </c>
      <c r="V26" s="30">
        <f t="shared" si="13"/>
        <v>20</v>
      </c>
      <c r="W26" s="30">
        <f t="shared" si="14"/>
        <v>0.6</v>
      </c>
      <c r="X26" s="30">
        <f t="shared" si="15"/>
        <v>0.06</v>
      </c>
      <c r="Y26" s="7">
        <f t="shared" si="16"/>
        <v>0.11753279999999999</v>
      </c>
      <c r="Z26" s="7">
        <f t="shared" si="17"/>
        <v>2.9383199999999998E-2</v>
      </c>
      <c r="AA26" s="25">
        <f t="shared" si="18"/>
        <v>8</v>
      </c>
      <c r="AB26" s="25">
        <f t="shared" si="19"/>
        <v>24</v>
      </c>
      <c r="AC26" s="25">
        <f t="shared" si="20"/>
        <v>80</v>
      </c>
      <c r="AD26" s="25">
        <f t="shared" si="21"/>
        <v>8</v>
      </c>
      <c r="AE26" s="25">
        <f t="shared" si="22"/>
        <v>20</v>
      </c>
      <c r="AF26" s="25">
        <f t="shared" si="23"/>
        <v>20</v>
      </c>
      <c r="AG26" s="25">
        <f t="shared" si="24"/>
        <v>14</v>
      </c>
      <c r="AH26" s="30">
        <f t="shared" si="25"/>
        <v>0.41136479999999997</v>
      </c>
      <c r="AI26" s="25">
        <f t="shared" si="26"/>
        <v>10962000</v>
      </c>
      <c r="AJ26" s="25">
        <f t="shared" si="27"/>
        <v>3288600</v>
      </c>
      <c r="AK26" s="33">
        <f t="shared" si="28"/>
        <v>4058442.8438400002</v>
      </c>
      <c r="AL26" s="33">
        <f t="shared" si="29"/>
        <v>0</v>
      </c>
      <c r="AM26" s="5">
        <f t="shared" si="30"/>
        <v>0.71419354256046419</v>
      </c>
    </row>
    <row r="27" spans="1:39" x14ac:dyDescent="0.45">
      <c r="A27" t="s">
        <v>424</v>
      </c>
      <c r="B27" t="s">
        <v>425</v>
      </c>
      <c r="C27" s="6">
        <f t="shared" ref="C27:C42" si="34">D_maxShare</f>
        <v>0.1</v>
      </c>
      <c r="D27" s="6">
        <f>J_adoptSuper_lo</f>
        <v>0.15</v>
      </c>
      <c r="E27" s="22">
        <f>D_callsScale</f>
        <v>1</v>
      </c>
      <c r="F27" s="25">
        <f t="shared" si="1"/>
        <v>4</v>
      </c>
      <c r="G27" s="6">
        <f t="shared" si="2"/>
        <v>0.4</v>
      </c>
      <c r="H27" s="4">
        <f t="shared" si="3"/>
        <v>3</v>
      </c>
      <c r="I27" s="6">
        <f t="shared" si="31"/>
        <v>0.8</v>
      </c>
      <c r="J27" s="4">
        <f t="shared" si="4"/>
        <v>1500</v>
      </c>
      <c r="K27" s="6">
        <f t="shared" si="5"/>
        <v>1</v>
      </c>
      <c r="L27" s="4">
        <f t="shared" si="32"/>
        <v>5</v>
      </c>
      <c r="M27" s="4">
        <f t="shared" si="33"/>
        <v>20</v>
      </c>
      <c r="N27" s="6">
        <f>0</f>
        <v>0</v>
      </c>
      <c r="O27" s="25">
        <f t="shared" si="6"/>
        <v>12</v>
      </c>
      <c r="P27" s="25">
        <f t="shared" si="7"/>
        <v>960</v>
      </c>
      <c r="Q27" s="25">
        <f t="shared" si="8"/>
        <v>2880</v>
      </c>
      <c r="R27" s="25">
        <f t="shared" si="9"/>
        <v>21120</v>
      </c>
      <c r="S27" s="25">
        <f t="shared" si="10"/>
        <v>18000</v>
      </c>
      <c r="T27" s="30">
        <f t="shared" si="11"/>
        <v>10</v>
      </c>
      <c r="U27" s="30">
        <f t="shared" si="12"/>
        <v>0.3</v>
      </c>
      <c r="V27" s="30">
        <f t="shared" si="13"/>
        <v>20</v>
      </c>
      <c r="W27" s="30">
        <f t="shared" si="14"/>
        <v>0.6</v>
      </c>
      <c r="X27" s="30">
        <f t="shared" si="15"/>
        <v>0.06</v>
      </c>
      <c r="Y27" s="7">
        <f t="shared" si="16"/>
        <v>0.11753279999999999</v>
      </c>
      <c r="Z27" s="7">
        <f t="shared" si="17"/>
        <v>2.9383199999999998E-2</v>
      </c>
      <c r="AA27" s="25">
        <f t="shared" si="18"/>
        <v>8</v>
      </c>
      <c r="AB27" s="25">
        <f t="shared" si="19"/>
        <v>24</v>
      </c>
      <c r="AC27" s="25">
        <f t="shared" si="20"/>
        <v>80</v>
      </c>
      <c r="AD27" s="25">
        <f t="shared" si="21"/>
        <v>8</v>
      </c>
      <c r="AE27" s="25">
        <f t="shared" si="22"/>
        <v>20</v>
      </c>
      <c r="AF27" s="25">
        <f t="shared" si="23"/>
        <v>20</v>
      </c>
      <c r="AG27" s="25">
        <f t="shared" si="24"/>
        <v>14</v>
      </c>
      <c r="AH27" s="30">
        <f t="shared" si="25"/>
        <v>0.41136479999999997</v>
      </c>
      <c r="AI27" s="25">
        <f t="shared" si="26"/>
        <v>11340000</v>
      </c>
      <c r="AJ27" s="25">
        <f t="shared" si="27"/>
        <v>1701000</v>
      </c>
      <c r="AK27" s="33">
        <f t="shared" si="28"/>
        <v>2099194.5744000003</v>
      </c>
      <c r="AL27" s="33">
        <f t="shared" si="29"/>
        <v>0</v>
      </c>
      <c r="AM27" s="5">
        <f t="shared" si="30"/>
        <v>0.72075819999323443</v>
      </c>
    </row>
    <row r="28" spans="1:39" x14ac:dyDescent="0.45">
      <c r="A28" t="s">
        <v>426</v>
      </c>
      <c r="B28" t="s">
        <v>427</v>
      </c>
      <c r="C28" s="6">
        <f t="shared" si="34"/>
        <v>0.1</v>
      </c>
      <c r="D28" s="6">
        <f>J_adoptSuper_hi</f>
        <v>0.5</v>
      </c>
      <c r="E28" s="22">
        <f>D_callsScale</f>
        <v>1</v>
      </c>
      <c r="F28" s="25">
        <f t="shared" si="1"/>
        <v>4</v>
      </c>
      <c r="G28" s="6">
        <f t="shared" si="2"/>
        <v>0.4</v>
      </c>
      <c r="H28" s="4">
        <f t="shared" si="3"/>
        <v>3</v>
      </c>
      <c r="I28" s="6">
        <f t="shared" si="31"/>
        <v>0.8</v>
      </c>
      <c r="J28" s="4">
        <f t="shared" si="4"/>
        <v>1500</v>
      </c>
      <c r="K28" s="6">
        <f t="shared" si="5"/>
        <v>1</v>
      </c>
      <c r="L28" s="4">
        <f t="shared" si="32"/>
        <v>5</v>
      </c>
      <c r="M28" s="4">
        <f t="shared" si="33"/>
        <v>20</v>
      </c>
      <c r="N28" s="6">
        <f>0</f>
        <v>0</v>
      </c>
      <c r="O28" s="25">
        <f t="shared" si="6"/>
        <v>12</v>
      </c>
      <c r="P28" s="25">
        <f t="shared" si="7"/>
        <v>960</v>
      </c>
      <c r="Q28" s="25">
        <f t="shared" si="8"/>
        <v>2880</v>
      </c>
      <c r="R28" s="25">
        <f t="shared" si="9"/>
        <v>21120</v>
      </c>
      <c r="S28" s="25">
        <f t="shared" si="10"/>
        <v>18000</v>
      </c>
      <c r="T28" s="30">
        <f t="shared" si="11"/>
        <v>10</v>
      </c>
      <c r="U28" s="30">
        <f t="shared" si="12"/>
        <v>0.3</v>
      </c>
      <c r="V28" s="30">
        <f t="shared" si="13"/>
        <v>20</v>
      </c>
      <c r="W28" s="30">
        <f t="shared" si="14"/>
        <v>0.6</v>
      </c>
      <c r="X28" s="30">
        <f t="shared" si="15"/>
        <v>0.06</v>
      </c>
      <c r="Y28" s="7">
        <f t="shared" si="16"/>
        <v>0.11753279999999999</v>
      </c>
      <c r="Z28" s="7">
        <f t="shared" si="17"/>
        <v>2.9383199999999998E-2</v>
      </c>
      <c r="AA28" s="25">
        <f t="shared" si="18"/>
        <v>8</v>
      </c>
      <c r="AB28" s="25">
        <f t="shared" si="19"/>
        <v>24</v>
      </c>
      <c r="AC28" s="25">
        <f t="shared" si="20"/>
        <v>80</v>
      </c>
      <c r="AD28" s="25">
        <f t="shared" si="21"/>
        <v>8</v>
      </c>
      <c r="AE28" s="25">
        <f t="shared" si="22"/>
        <v>20</v>
      </c>
      <c r="AF28" s="25">
        <f t="shared" si="23"/>
        <v>20</v>
      </c>
      <c r="AG28" s="25">
        <f t="shared" si="24"/>
        <v>14</v>
      </c>
      <c r="AH28" s="30">
        <f t="shared" si="25"/>
        <v>0.41136479999999997</v>
      </c>
      <c r="AI28" s="25">
        <f t="shared" si="26"/>
        <v>11340000</v>
      </c>
      <c r="AJ28" s="25">
        <f t="shared" si="27"/>
        <v>5670000</v>
      </c>
      <c r="AK28" s="33">
        <f t="shared" si="28"/>
        <v>6997315.2479999997</v>
      </c>
      <c r="AL28" s="33">
        <f t="shared" si="29"/>
        <v>0</v>
      </c>
      <c r="AM28" s="5">
        <f t="shared" si="30"/>
        <v>0.70434655641130894</v>
      </c>
    </row>
    <row r="29" spans="1:39" x14ac:dyDescent="0.45">
      <c r="A29" t="s">
        <v>428</v>
      </c>
      <c r="B29" t="s">
        <v>429</v>
      </c>
      <c r="C29" s="6">
        <f t="shared" si="34"/>
        <v>0.1</v>
      </c>
      <c r="D29" s="6">
        <f t="shared" ref="D29:D42" si="35">D_adoptSuper</f>
        <v>0.3</v>
      </c>
      <c r="E29" s="22">
        <f>J_callsScale_lo</f>
        <v>0.6</v>
      </c>
      <c r="F29" s="25">
        <f t="shared" si="1"/>
        <v>4</v>
      </c>
      <c r="G29" s="6">
        <f t="shared" si="2"/>
        <v>0.4</v>
      </c>
      <c r="H29" s="4">
        <f t="shared" si="3"/>
        <v>3</v>
      </c>
      <c r="I29" s="6">
        <f t="shared" si="31"/>
        <v>0.8</v>
      </c>
      <c r="J29" s="4">
        <f t="shared" si="4"/>
        <v>1500</v>
      </c>
      <c r="K29" s="6">
        <f t="shared" si="5"/>
        <v>1</v>
      </c>
      <c r="L29" s="4">
        <f t="shared" si="32"/>
        <v>5</v>
      </c>
      <c r="M29" s="4">
        <f t="shared" si="33"/>
        <v>20</v>
      </c>
      <c r="N29" s="6">
        <f>0</f>
        <v>0</v>
      </c>
      <c r="O29" s="25">
        <f t="shared" si="6"/>
        <v>12</v>
      </c>
      <c r="P29" s="25">
        <f t="shared" si="7"/>
        <v>960</v>
      </c>
      <c r="Q29" s="25">
        <f t="shared" si="8"/>
        <v>2880</v>
      </c>
      <c r="R29" s="25">
        <f t="shared" si="9"/>
        <v>21120</v>
      </c>
      <c r="S29" s="25">
        <f t="shared" si="10"/>
        <v>18000</v>
      </c>
      <c r="T29" s="30">
        <f t="shared" si="11"/>
        <v>10</v>
      </c>
      <c r="U29" s="30">
        <f t="shared" si="12"/>
        <v>0.3</v>
      </c>
      <c r="V29" s="30">
        <f t="shared" si="13"/>
        <v>20</v>
      </c>
      <c r="W29" s="30">
        <f t="shared" si="14"/>
        <v>0.6</v>
      </c>
      <c r="X29" s="30">
        <f t="shared" si="15"/>
        <v>0.06</v>
      </c>
      <c r="Y29" s="7">
        <f t="shared" si="16"/>
        <v>0.11753279999999999</v>
      </c>
      <c r="Z29" s="7">
        <f t="shared" si="17"/>
        <v>2.9383199999999998E-2</v>
      </c>
      <c r="AA29" s="25">
        <f t="shared" si="18"/>
        <v>4.8</v>
      </c>
      <c r="AB29" s="25">
        <f t="shared" si="19"/>
        <v>14.399999999999999</v>
      </c>
      <c r="AC29" s="25">
        <f t="shared" si="20"/>
        <v>48</v>
      </c>
      <c r="AD29" s="25">
        <f t="shared" si="21"/>
        <v>4.8</v>
      </c>
      <c r="AE29" s="25">
        <f t="shared" si="22"/>
        <v>14.399999999999999</v>
      </c>
      <c r="AF29" s="25">
        <f t="shared" si="23"/>
        <v>20</v>
      </c>
      <c r="AG29" s="25">
        <f t="shared" si="24"/>
        <v>10.44</v>
      </c>
      <c r="AH29" s="30">
        <f t="shared" si="25"/>
        <v>0.30676060799999999</v>
      </c>
      <c r="AI29" s="25">
        <f t="shared" si="26"/>
        <v>11340000</v>
      </c>
      <c r="AJ29" s="25">
        <f t="shared" si="27"/>
        <v>3402000</v>
      </c>
      <c r="AK29" s="33">
        <f t="shared" si="28"/>
        <v>3130798.7652480002</v>
      </c>
      <c r="AL29" s="33">
        <f t="shared" si="29"/>
        <v>0</v>
      </c>
      <c r="AM29" s="5">
        <f t="shared" si="30"/>
        <v>0.71730170689597994</v>
      </c>
    </row>
    <row r="30" spans="1:39" x14ac:dyDescent="0.45">
      <c r="A30" t="s">
        <v>430</v>
      </c>
      <c r="B30" t="s">
        <v>431</v>
      </c>
      <c r="C30" s="6">
        <f t="shared" si="34"/>
        <v>0.1</v>
      </c>
      <c r="D30" s="6">
        <f t="shared" si="35"/>
        <v>0.3</v>
      </c>
      <c r="E30" s="22">
        <f>J_callsScale_hi</f>
        <v>1.5</v>
      </c>
      <c r="F30" s="25">
        <f t="shared" si="1"/>
        <v>4</v>
      </c>
      <c r="G30" s="6">
        <f t="shared" si="2"/>
        <v>0.4</v>
      </c>
      <c r="H30" s="4">
        <f t="shared" si="3"/>
        <v>3</v>
      </c>
      <c r="I30" s="6">
        <f t="shared" si="31"/>
        <v>0.8</v>
      </c>
      <c r="J30" s="4">
        <f t="shared" si="4"/>
        <v>1500</v>
      </c>
      <c r="K30" s="6">
        <f t="shared" si="5"/>
        <v>1</v>
      </c>
      <c r="L30" s="4">
        <f t="shared" si="32"/>
        <v>5</v>
      </c>
      <c r="M30" s="4">
        <f t="shared" si="33"/>
        <v>20</v>
      </c>
      <c r="N30" s="6">
        <f>0</f>
        <v>0</v>
      </c>
      <c r="O30" s="25">
        <f t="shared" si="6"/>
        <v>12</v>
      </c>
      <c r="P30" s="25">
        <f t="shared" si="7"/>
        <v>960</v>
      </c>
      <c r="Q30" s="25">
        <f t="shared" si="8"/>
        <v>2880</v>
      </c>
      <c r="R30" s="25">
        <f t="shared" si="9"/>
        <v>21120</v>
      </c>
      <c r="S30" s="25">
        <f t="shared" si="10"/>
        <v>18000</v>
      </c>
      <c r="T30" s="30">
        <f t="shared" si="11"/>
        <v>10</v>
      </c>
      <c r="U30" s="30">
        <f t="shared" si="12"/>
        <v>0.3</v>
      </c>
      <c r="V30" s="30">
        <f t="shared" si="13"/>
        <v>20</v>
      </c>
      <c r="W30" s="30">
        <f t="shared" si="14"/>
        <v>0.6</v>
      </c>
      <c r="X30" s="30">
        <f t="shared" si="15"/>
        <v>0.06</v>
      </c>
      <c r="Y30" s="7">
        <f t="shared" si="16"/>
        <v>0.11753279999999999</v>
      </c>
      <c r="Z30" s="7">
        <f t="shared" si="17"/>
        <v>2.9383199999999998E-2</v>
      </c>
      <c r="AA30" s="25">
        <f t="shared" si="18"/>
        <v>12</v>
      </c>
      <c r="AB30" s="25">
        <f t="shared" si="19"/>
        <v>36</v>
      </c>
      <c r="AC30" s="25">
        <f t="shared" si="20"/>
        <v>120</v>
      </c>
      <c r="AD30" s="25">
        <f t="shared" si="21"/>
        <v>12</v>
      </c>
      <c r="AE30" s="25">
        <f t="shared" si="22"/>
        <v>20</v>
      </c>
      <c r="AF30" s="25">
        <f t="shared" si="23"/>
        <v>20</v>
      </c>
      <c r="AG30" s="25">
        <f t="shared" si="24"/>
        <v>16</v>
      </c>
      <c r="AH30" s="30">
        <f t="shared" si="25"/>
        <v>0.47013119999999997</v>
      </c>
      <c r="AI30" s="25">
        <f t="shared" si="26"/>
        <v>11340000</v>
      </c>
      <c r="AJ30" s="25">
        <f t="shared" si="27"/>
        <v>3402000</v>
      </c>
      <c r="AK30" s="33">
        <f t="shared" si="28"/>
        <v>4798159.0272000004</v>
      </c>
      <c r="AL30" s="33">
        <f t="shared" si="29"/>
        <v>0</v>
      </c>
      <c r="AM30" s="5">
        <f t="shared" si="30"/>
        <v>0.71171504944809172</v>
      </c>
    </row>
    <row r="31" spans="1:39" x14ac:dyDescent="0.45">
      <c r="A31" t="s">
        <v>432</v>
      </c>
      <c r="B31" t="s">
        <v>433</v>
      </c>
      <c r="C31" s="6">
        <f t="shared" si="34"/>
        <v>0.1</v>
      </c>
      <c r="D31" s="6">
        <f t="shared" si="35"/>
        <v>0.3</v>
      </c>
      <c r="E31" s="22">
        <f t="shared" ref="E31:E42" si="36">D_callsScale</f>
        <v>1</v>
      </c>
      <c r="F31" s="25">
        <f>J_L_lo</f>
        <v>2.5</v>
      </c>
      <c r="G31" s="6">
        <f t="shared" si="2"/>
        <v>0.4</v>
      </c>
      <c r="H31" s="4">
        <f t="shared" si="3"/>
        <v>3</v>
      </c>
      <c r="I31" s="6">
        <f t="shared" si="31"/>
        <v>0.8</v>
      </c>
      <c r="J31" s="4">
        <f t="shared" si="4"/>
        <v>1500</v>
      </c>
      <c r="K31" s="6">
        <f t="shared" si="5"/>
        <v>1</v>
      </c>
      <c r="L31" s="4">
        <f t="shared" si="32"/>
        <v>5</v>
      </c>
      <c r="M31" s="4">
        <f t="shared" si="33"/>
        <v>20</v>
      </c>
      <c r="N31" s="6">
        <f>0</f>
        <v>0</v>
      </c>
      <c r="O31" s="25">
        <f t="shared" si="6"/>
        <v>7.5</v>
      </c>
      <c r="P31" s="25">
        <f t="shared" si="7"/>
        <v>600</v>
      </c>
      <c r="Q31" s="25">
        <f t="shared" si="8"/>
        <v>1800</v>
      </c>
      <c r="R31" s="25">
        <f t="shared" si="9"/>
        <v>7800</v>
      </c>
      <c r="S31" s="25">
        <f t="shared" si="10"/>
        <v>11250</v>
      </c>
      <c r="T31" s="30">
        <f t="shared" si="11"/>
        <v>10</v>
      </c>
      <c r="U31" s="30">
        <f t="shared" si="12"/>
        <v>0.3</v>
      </c>
      <c r="V31" s="30">
        <f t="shared" si="13"/>
        <v>20</v>
      </c>
      <c r="W31" s="30">
        <f t="shared" si="14"/>
        <v>0.6</v>
      </c>
      <c r="X31" s="30">
        <f t="shared" si="15"/>
        <v>0.06</v>
      </c>
      <c r="Y31" s="7">
        <f t="shared" si="16"/>
        <v>6.1362E-2</v>
      </c>
      <c r="Z31" s="7">
        <f t="shared" si="17"/>
        <v>2.4544799999999999E-2</v>
      </c>
      <c r="AA31" s="25">
        <f t="shared" si="18"/>
        <v>5</v>
      </c>
      <c r="AB31" s="25">
        <f t="shared" si="19"/>
        <v>15</v>
      </c>
      <c r="AC31" s="25">
        <f t="shared" si="20"/>
        <v>50</v>
      </c>
      <c r="AD31" s="25">
        <f t="shared" si="21"/>
        <v>5</v>
      </c>
      <c r="AE31" s="25">
        <f t="shared" si="22"/>
        <v>15</v>
      </c>
      <c r="AF31" s="25">
        <f t="shared" si="23"/>
        <v>20</v>
      </c>
      <c r="AG31" s="25">
        <f t="shared" si="24"/>
        <v>10.75</v>
      </c>
      <c r="AH31" s="30">
        <f t="shared" si="25"/>
        <v>0.2638566</v>
      </c>
      <c r="AI31" s="25">
        <f t="shared" si="26"/>
        <v>11340000</v>
      </c>
      <c r="AJ31" s="25">
        <f t="shared" si="27"/>
        <v>3402000</v>
      </c>
      <c r="AK31" s="33">
        <f t="shared" si="28"/>
        <v>2692920.4595999997</v>
      </c>
      <c r="AL31" s="33">
        <f t="shared" si="29"/>
        <v>0</v>
      </c>
      <c r="AM31" s="5">
        <f t="shared" si="30"/>
        <v>0.71876886198737755</v>
      </c>
    </row>
    <row r="32" spans="1:39" x14ac:dyDescent="0.45">
      <c r="A32" t="s">
        <v>434</v>
      </c>
      <c r="B32" t="s">
        <v>435</v>
      </c>
      <c r="C32" s="6">
        <f t="shared" si="34"/>
        <v>0.1</v>
      </c>
      <c r="D32" s="6">
        <f t="shared" si="35"/>
        <v>0.3</v>
      </c>
      <c r="E32" s="22">
        <f t="shared" si="36"/>
        <v>1</v>
      </c>
      <c r="F32" s="25">
        <f>J_L_hi</f>
        <v>6</v>
      </c>
      <c r="G32" s="6">
        <f t="shared" si="2"/>
        <v>0.4</v>
      </c>
      <c r="H32" s="4">
        <f t="shared" si="3"/>
        <v>3</v>
      </c>
      <c r="I32" s="6">
        <f t="shared" si="31"/>
        <v>0.8</v>
      </c>
      <c r="J32" s="4">
        <f t="shared" si="4"/>
        <v>1500</v>
      </c>
      <c r="K32" s="6">
        <f t="shared" si="5"/>
        <v>1</v>
      </c>
      <c r="L32" s="4">
        <f t="shared" si="32"/>
        <v>5</v>
      </c>
      <c r="M32" s="4">
        <f t="shared" si="33"/>
        <v>20</v>
      </c>
      <c r="N32" s="6">
        <f>0</f>
        <v>0</v>
      </c>
      <c r="O32" s="25">
        <f t="shared" si="6"/>
        <v>18</v>
      </c>
      <c r="P32" s="25">
        <f t="shared" si="7"/>
        <v>1440.0000000000002</v>
      </c>
      <c r="Q32" s="25">
        <f t="shared" si="8"/>
        <v>4320</v>
      </c>
      <c r="R32" s="25">
        <f t="shared" si="9"/>
        <v>48960</v>
      </c>
      <c r="S32" s="25">
        <f t="shared" si="10"/>
        <v>27000</v>
      </c>
      <c r="T32" s="30">
        <f t="shared" si="11"/>
        <v>10</v>
      </c>
      <c r="U32" s="30">
        <f t="shared" si="12"/>
        <v>0.3</v>
      </c>
      <c r="V32" s="30">
        <f t="shared" si="13"/>
        <v>20</v>
      </c>
      <c r="W32" s="30">
        <f t="shared" si="14"/>
        <v>0.6</v>
      </c>
      <c r="X32" s="30">
        <f t="shared" si="15"/>
        <v>0.06</v>
      </c>
      <c r="Y32" s="7">
        <f t="shared" si="16"/>
        <v>0.21500639999999996</v>
      </c>
      <c r="Z32" s="7">
        <f t="shared" si="17"/>
        <v>3.5834399999999995E-2</v>
      </c>
      <c r="AA32" s="25">
        <f t="shared" si="18"/>
        <v>12</v>
      </c>
      <c r="AB32" s="25">
        <f t="shared" si="19"/>
        <v>36</v>
      </c>
      <c r="AC32" s="25">
        <f t="shared" si="20"/>
        <v>120</v>
      </c>
      <c r="AD32" s="25">
        <f t="shared" si="21"/>
        <v>12</v>
      </c>
      <c r="AE32" s="25">
        <f t="shared" si="22"/>
        <v>20</v>
      </c>
      <c r="AF32" s="25">
        <f t="shared" si="23"/>
        <v>20</v>
      </c>
      <c r="AG32" s="25">
        <f t="shared" si="24"/>
        <v>16</v>
      </c>
      <c r="AH32" s="30">
        <f t="shared" si="25"/>
        <v>0.57335039999999993</v>
      </c>
      <c r="AI32" s="25">
        <f t="shared" si="26"/>
        <v>11340000</v>
      </c>
      <c r="AJ32" s="25">
        <f t="shared" si="27"/>
        <v>3402000</v>
      </c>
      <c r="AK32" s="33">
        <f t="shared" si="28"/>
        <v>5851614.1823999994</v>
      </c>
      <c r="AL32" s="33">
        <f t="shared" si="29"/>
        <v>0</v>
      </c>
      <c r="AM32" s="5">
        <f t="shared" si="30"/>
        <v>0.70818534250765874</v>
      </c>
    </row>
    <row r="33" spans="1:39" x14ac:dyDescent="0.45">
      <c r="A33" t="s">
        <v>436</v>
      </c>
      <c r="B33" t="s">
        <v>437</v>
      </c>
      <c r="C33" s="6">
        <f t="shared" si="34"/>
        <v>0.1</v>
      </c>
      <c r="D33" s="6">
        <f t="shared" si="35"/>
        <v>0.3</v>
      </c>
      <c r="E33" s="22">
        <f t="shared" si="36"/>
        <v>1</v>
      </c>
      <c r="F33" s="25">
        <f t="shared" ref="F33:F42" si="37">D_L</f>
        <v>4</v>
      </c>
      <c r="G33" s="6">
        <f>J_s_lo</f>
        <v>0.3</v>
      </c>
      <c r="H33" s="4">
        <f t="shared" si="3"/>
        <v>3</v>
      </c>
      <c r="I33" s="6">
        <f t="shared" si="31"/>
        <v>0.8</v>
      </c>
      <c r="J33" s="4">
        <f t="shared" si="4"/>
        <v>1500</v>
      </c>
      <c r="K33" s="6">
        <f t="shared" si="5"/>
        <v>1</v>
      </c>
      <c r="L33" s="4">
        <f t="shared" si="32"/>
        <v>5</v>
      </c>
      <c r="M33" s="4">
        <f t="shared" si="33"/>
        <v>20</v>
      </c>
      <c r="N33" s="6">
        <f>0</f>
        <v>0</v>
      </c>
      <c r="O33" s="25">
        <f t="shared" si="6"/>
        <v>12</v>
      </c>
      <c r="P33" s="25">
        <f t="shared" si="7"/>
        <v>720</v>
      </c>
      <c r="Q33" s="25">
        <f t="shared" si="8"/>
        <v>3360</v>
      </c>
      <c r="R33" s="25">
        <f t="shared" si="9"/>
        <v>22440</v>
      </c>
      <c r="S33" s="25">
        <f t="shared" si="10"/>
        <v>18000</v>
      </c>
      <c r="T33" s="30">
        <f t="shared" si="11"/>
        <v>10</v>
      </c>
      <c r="U33" s="30">
        <f t="shared" si="12"/>
        <v>0.3</v>
      </c>
      <c r="V33" s="30">
        <f t="shared" si="13"/>
        <v>20</v>
      </c>
      <c r="W33" s="30">
        <f t="shared" si="14"/>
        <v>0.6</v>
      </c>
      <c r="X33" s="30">
        <f t="shared" si="15"/>
        <v>0.06</v>
      </c>
      <c r="Y33" s="7">
        <f t="shared" si="16"/>
        <v>0.12768959999999999</v>
      </c>
      <c r="Z33" s="7">
        <f t="shared" si="17"/>
        <v>3.1922399999999997E-2</v>
      </c>
      <c r="AA33" s="25">
        <f t="shared" si="18"/>
        <v>8</v>
      </c>
      <c r="AB33" s="25">
        <f t="shared" si="19"/>
        <v>24</v>
      </c>
      <c r="AC33" s="25">
        <f t="shared" si="20"/>
        <v>80</v>
      </c>
      <c r="AD33" s="25">
        <f t="shared" si="21"/>
        <v>8</v>
      </c>
      <c r="AE33" s="25">
        <f t="shared" si="22"/>
        <v>20</v>
      </c>
      <c r="AF33" s="25">
        <f t="shared" si="23"/>
        <v>20</v>
      </c>
      <c r="AG33" s="25">
        <f t="shared" si="24"/>
        <v>14</v>
      </c>
      <c r="AH33" s="30">
        <f t="shared" si="25"/>
        <v>0.44691359999999997</v>
      </c>
      <c r="AI33" s="25">
        <f t="shared" si="26"/>
        <v>11340000</v>
      </c>
      <c r="AJ33" s="25">
        <f t="shared" si="27"/>
        <v>3402000</v>
      </c>
      <c r="AK33" s="33">
        <f t="shared" si="28"/>
        <v>4561200.2016000003</v>
      </c>
      <c r="AL33" s="33">
        <f t="shared" si="29"/>
        <v>0</v>
      </c>
      <c r="AM33" s="5">
        <f t="shared" si="30"/>
        <v>0.7125090037110603</v>
      </c>
    </row>
    <row r="34" spans="1:39" x14ac:dyDescent="0.45">
      <c r="A34" t="s">
        <v>438</v>
      </c>
      <c r="B34" t="s">
        <v>439</v>
      </c>
      <c r="C34" s="6">
        <f t="shared" si="34"/>
        <v>0.1</v>
      </c>
      <c r="D34" s="6">
        <f t="shared" si="35"/>
        <v>0.3</v>
      </c>
      <c r="E34" s="22">
        <f t="shared" si="36"/>
        <v>1</v>
      </c>
      <c r="F34" s="25">
        <f t="shared" si="37"/>
        <v>4</v>
      </c>
      <c r="G34" s="6">
        <f>J_s_hi</f>
        <v>0.55000000000000004</v>
      </c>
      <c r="H34" s="4">
        <f t="shared" si="3"/>
        <v>3</v>
      </c>
      <c r="I34" s="6">
        <f t="shared" si="31"/>
        <v>0.8</v>
      </c>
      <c r="J34" s="4">
        <f t="shared" si="4"/>
        <v>1500</v>
      </c>
      <c r="K34" s="6">
        <f t="shared" si="5"/>
        <v>1</v>
      </c>
      <c r="L34" s="4">
        <f t="shared" si="32"/>
        <v>5</v>
      </c>
      <c r="M34" s="4">
        <f t="shared" si="33"/>
        <v>20</v>
      </c>
      <c r="N34" s="6">
        <f>0</f>
        <v>0</v>
      </c>
      <c r="O34" s="25">
        <f t="shared" si="6"/>
        <v>12</v>
      </c>
      <c r="P34" s="25">
        <f t="shared" si="7"/>
        <v>1320</v>
      </c>
      <c r="Q34" s="25">
        <f t="shared" si="8"/>
        <v>2160</v>
      </c>
      <c r="R34" s="25">
        <f t="shared" si="9"/>
        <v>19140</v>
      </c>
      <c r="S34" s="25">
        <f t="shared" si="10"/>
        <v>18000</v>
      </c>
      <c r="T34" s="30">
        <f t="shared" si="11"/>
        <v>10</v>
      </c>
      <c r="U34" s="30">
        <f t="shared" si="12"/>
        <v>0.3</v>
      </c>
      <c r="V34" s="30">
        <f t="shared" si="13"/>
        <v>20</v>
      </c>
      <c r="W34" s="30">
        <f t="shared" si="14"/>
        <v>0.6</v>
      </c>
      <c r="X34" s="30">
        <f t="shared" si="15"/>
        <v>0.06</v>
      </c>
      <c r="Y34" s="7">
        <f t="shared" si="16"/>
        <v>0.10229759999999997</v>
      </c>
      <c r="Z34" s="7">
        <f t="shared" si="17"/>
        <v>2.5574399999999994E-2</v>
      </c>
      <c r="AA34" s="25">
        <f t="shared" si="18"/>
        <v>8</v>
      </c>
      <c r="AB34" s="25">
        <f t="shared" si="19"/>
        <v>24</v>
      </c>
      <c r="AC34" s="25">
        <f t="shared" si="20"/>
        <v>80</v>
      </c>
      <c r="AD34" s="25">
        <f t="shared" si="21"/>
        <v>8</v>
      </c>
      <c r="AE34" s="25">
        <f t="shared" si="22"/>
        <v>20</v>
      </c>
      <c r="AF34" s="25">
        <f t="shared" si="23"/>
        <v>20</v>
      </c>
      <c r="AG34" s="25">
        <f t="shared" si="24"/>
        <v>14</v>
      </c>
      <c r="AH34" s="30">
        <f t="shared" si="25"/>
        <v>0.3580415999999999</v>
      </c>
      <c r="AI34" s="25">
        <f t="shared" si="26"/>
        <v>11340000</v>
      </c>
      <c r="AJ34" s="25">
        <f t="shared" si="27"/>
        <v>3402000</v>
      </c>
      <c r="AK34" s="33">
        <f t="shared" si="28"/>
        <v>3654172.5695999991</v>
      </c>
      <c r="AL34" s="33">
        <f t="shared" si="29"/>
        <v>0</v>
      </c>
      <c r="AM34" s="5">
        <f t="shared" si="30"/>
        <v>0.71554809057871827</v>
      </c>
    </row>
    <row r="35" spans="1:39" x14ac:dyDescent="0.45">
      <c r="A35" t="s">
        <v>440</v>
      </c>
      <c r="B35" t="s">
        <v>441</v>
      </c>
      <c r="C35" s="6">
        <f t="shared" si="34"/>
        <v>0.1</v>
      </c>
      <c r="D35" s="6">
        <f t="shared" si="35"/>
        <v>0.3</v>
      </c>
      <c r="E35" s="22">
        <f t="shared" si="36"/>
        <v>1</v>
      </c>
      <c r="F35" s="25">
        <f t="shared" si="37"/>
        <v>4</v>
      </c>
      <c r="G35" s="6">
        <f t="shared" ref="G35:G42" si="38">D_s</f>
        <v>0.4</v>
      </c>
      <c r="H35" s="4">
        <f>J_r_lo</f>
        <v>2</v>
      </c>
      <c r="I35" s="6">
        <f t="shared" si="31"/>
        <v>0.8</v>
      </c>
      <c r="J35" s="4">
        <f t="shared" si="4"/>
        <v>1500</v>
      </c>
      <c r="K35" s="6">
        <f t="shared" si="5"/>
        <v>1</v>
      </c>
      <c r="L35" s="4">
        <f t="shared" si="32"/>
        <v>5</v>
      </c>
      <c r="M35" s="4">
        <f t="shared" si="33"/>
        <v>20</v>
      </c>
      <c r="N35" s="6">
        <f>0</f>
        <v>0</v>
      </c>
      <c r="O35" s="25">
        <f t="shared" si="6"/>
        <v>8</v>
      </c>
      <c r="P35" s="25">
        <f t="shared" si="7"/>
        <v>960</v>
      </c>
      <c r="Q35" s="25">
        <f t="shared" si="8"/>
        <v>2880</v>
      </c>
      <c r="R35" s="25">
        <f t="shared" si="9"/>
        <v>13440</v>
      </c>
      <c r="S35" s="25">
        <f t="shared" si="10"/>
        <v>12000</v>
      </c>
      <c r="T35" s="30">
        <f t="shared" si="11"/>
        <v>10</v>
      </c>
      <c r="U35" s="30">
        <f t="shared" si="12"/>
        <v>0.3</v>
      </c>
      <c r="V35" s="30">
        <f t="shared" si="13"/>
        <v>20</v>
      </c>
      <c r="W35" s="30">
        <f t="shared" si="14"/>
        <v>0.6</v>
      </c>
      <c r="X35" s="30">
        <f t="shared" si="15"/>
        <v>0.06</v>
      </c>
      <c r="Y35" s="7">
        <f t="shared" si="16"/>
        <v>9.9321599999999996E-2</v>
      </c>
      <c r="Z35" s="7">
        <f t="shared" si="17"/>
        <v>2.4830399999999999E-2</v>
      </c>
      <c r="AA35" s="25">
        <f t="shared" si="18"/>
        <v>8</v>
      </c>
      <c r="AB35" s="25">
        <f t="shared" si="19"/>
        <v>24</v>
      </c>
      <c r="AC35" s="25">
        <f t="shared" si="20"/>
        <v>80</v>
      </c>
      <c r="AD35" s="25">
        <f t="shared" si="21"/>
        <v>8</v>
      </c>
      <c r="AE35" s="25">
        <f t="shared" si="22"/>
        <v>20</v>
      </c>
      <c r="AF35" s="25">
        <f t="shared" si="23"/>
        <v>20</v>
      </c>
      <c r="AG35" s="25">
        <f t="shared" si="24"/>
        <v>14</v>
      </c>
      <c r="AH35" s="30">
        <f t="shared" si="25"/>
        <v>0.34762559999999998</v>
      </c>
      <c r="AI35" s="25">
        <f t="shared" si="26"/>
        <v>11340000</v>
      </c>
      <c r="AJ35" s="25">
        <f t="shared" si="27"/>
        <v>3402000</v>
      </c>
      <c r="AK35" s="33">
        <f t="shared" si="28"/>
        <v>3547866.8735999996</v>
      </c>
      <c r="AL35" s="33">
        <f t="shared" si="29"/>
        <v>0</v>
      </c>
      <c r="AM35" s="5">
        <f t="shared" si="30"/>
        <v>0.71590427845356663</v>
      </c>
    </row>
    <row r="36" spans="1:39" x14ac:dyDescent="0.45">
      <c r="A36" t="s">
        <v>442</v>
      </c>
      <c r="B36" t="s">
        <v>443</v>
      </c>
      <c r="C36" s="6">
        <f t="shared" si="34"/>
        <v>0.1</v>
      </c>
      <c r="D36" s="6">
        <f t="shared" si="35"/>
        <v>0.3</v>
      </c>
      <c r="E36" s="22">
        <f t="shared" si="36"/>
        <v>1</v>
      </c>
      <c r="F36" s="25">
        <f t="shared" si="37"/>
        <v>4</v>
      </c>
      <c r="G36" s="6">
        <f t="shared" si="38"/>
        <v>0.4</v>
      </c>
      <c r="H36" s="4">
        <f>J_r_hi</f>
        <v>5</v>
      </c>
      <c r="I36" s="6">
        <f t="shared" si="31"/>
        <v>0.8</v>
      </c>
      <c r="J36" s="4">
        <f t="shared" si="4"/>
        <v>1500</v>
      </c>
      <c r="K36" s="6">
        <f t="shared" si="5"/>
        <v>1</v>
      </c>
      <c r="L36" s="4">
        <f t="shared" si="32"/>
        <v>5</v>
      </c>
      <c r="M36" s="4">
        <f t="shared" si="33"/>
        <v>20</v>
      </c>
      <c r="N36" s="6">
        <f>0</f>
        <v>0</v>
      </c>
      <c r="O36" s="25">
        <f t="shared" si="6"/>
        <v>20</v>
      </c>
      <c r="P36" s="25">
        <f t="shared" si="7"/>
        <v>960</v>
      </c>
      <c r="Q36" s="25">
        <f t="shared" si="8"/>
        <v>2880</v>
      </c>
      <c r="R36" s="25">
        <f t="shared" si="9"/>
        <v>36480</v>
      </c>
      <c r="S36" s="25">
        <f t="shared" si="10"/>
        <v>30000</v>
      </c>
      <c r="T36" s="30">
        <f t="shared" si="11"/>
        <v>10</v>
      </c>
      <c r="U36" s="30">
        <f t="shared" si="12"/>
        <v>0.3</v>
      </c>
      <c r="V36" s="30">
        <f t="shared" si="13"/>
        <v>20</v>
      </c>
      <c r="W36" s="30">
        <f t="shared" si="14"/>
        <v>0.6</v>
      </c>
      <c r="X36" s="30">
        <f t="shared" si="15"/>
        <v>0.06</v>
      </c>
      <c r="Y36" s="7">
        <f t="shared" si="16"/>
        <v>0.15395519999999999</v>
      </c>
      <c r="Z36" s="7">
        <f t="shared" si="17"/>
        <v>3.8488799999999997E-2</v>
      </c>
      <c r="AA36" s="25">
        <f t="shared" si="18"/>
        <v>8</v>
      </c>
      <c r="AB36" s="25">
        <f t="shared" si="19"/>
        <v>24</v>
      </c>
      <c r="AC36" s="25">
        <f t="shared" si="20"/>
        <v>80</v>
      </c>
      <c r="AD36" s="25">
        <f t="shared" si="21"/>
        <v>8</v>
      </c>
      <c r="AE36" s="25">
        <f t="shared" si="22"/>
        <v>20</v>
      </c>
      <c r="AF36" s="25">
        <f t="shared" si="23"/>
        <v>20</v>
      </c>
      <c r="AG36" s="25">
        <f t="shared" si="24"/>
        <v>14</v>
      </c>
      <c r="AH36" s="30">
        <f t="shared" si="25"/>
        <v>0.53884319999999997</v>
      </c>
      <c r="AI36" s="25">
        <f t="shared" si="26"/>
        <v>11340000</v>
      </c>
      <c r="AJ36" s="25">
        <f t="shared" si="27"/>
        <v>3402000</v>
      </c>
      <c r="AK36" s="33">
        <f t="shared" si="28"/>
        <v>5499433.6991999997</v>
      </c>
      <c r="AL36" s="33">
        <f t="shared" si="29"/>
        <v>0</v>
      </c>
      <c r="AM36" s="5">
        <f t="shared" si="30"/>
        <v>0.70936535846723714</v>
      </c>
    </row>
    <row r="37" spans="1:39" x14ac:dyDescent="0.45">
      <c r="A37" t="s">
        <v>444</v>
      </c>
      <c r="B37" t="s">
        <v>445</v>
      </c>
      <c r="C37" s="6">
        <f t="shared" si="34"/>
        <v>0.1</v>
      </c>
      <c r="D37" s="6">
        <f t="shared" si="35"/>
        <v>0.3</v>
      </c>
      <c r="E37" s="22">
        <f t="shared" si="36"/>
        <v>1</v>
      </c>
      <c r="F37" s="25">
        <f t="shared" si="37"/>
        <v>4</v>
      </c>
      <c r="G37" s="6">
        <f t="shared" si="38"/>
        <v>0.4</v>
      </c>
      <c r="H37" s="4">
        <f t="shared" ref="H37:H42" si="39">D_r</f>
        <v>3</v>
      </c>
      <c r="I37" s="6">
        <f>J_c_lo</f>
        <v>0.5</v>
      </c>
      <c r="J37" s="4">
        <f t="shared" si="4"/>
        <v>1500</v>
      </c>
      <c r="K37" s="6">
        <f t="shared" si="5"/>
        <v>1</v>
      </c>
      <c r="L37" s="4">
        <f t="shared" si="32"/>
        <v>5</v>
      </c>
      <c r="M37" s="4">
        <f t="shared" si="33"/>
        <v>20</v>
      </c>
      <c r="N37" s="6">
        <f>0</f>
        <v>0</v>
      </c>
      <c r="O37" s="25">
        <f t="shared" ref="O37:O68" si="40">H37*F37</f>
        <v>12</v>
      </c>
      <c r="P37" s="25">
        <f t="shared" ref="P37:P68" si="41">F37*G37*TokIn</f>
        <v>960</v>
      </c>
      <c r="Q37" s="25">
        <f t="shared" ref="Q37:Q68" si="42">F37*(1-G37)*TokOut</f>
        <v>2880</v>
      </c>
      <c r="R37" s="25">
        <f t="shared" ref="R37:R68" si="43">(G37*TokIn+(1-G37)*TokOut)*F37*(O37-1)/2</f>
        <v>21120</v>
      </c>
      <c r="S37" s="25">
        <f t="shared" ref="S37:S68" si="44">O37*J37</f>
        <v>18000</v>
      </c>
      <c r="T37" s="30">
        <f t="shared" ref="T37:T68" si="45">INDEX(ListAudioIn,L37)</f>
        <v>10</v>
      </c>
      <c r="U37" s="30">
        <f t="shared" ref="U37:U68" si="46">INDEX(ListAudioCached,L37)</f>
        <v>0.3</v>
      </c>
      <c r="V37" s="30">
        <f t="shared" ref="V37:V68" si="47">INDEX(ListAudioOut,L37)</f>
        <v>20</v>
      </c>
      <c r="W37" s="30">
        <f t="shared" ref="W37:W68" si="48">INDEX(ListTextIn,L37)</f>
        <v>0.6</v>
      </c>
      <c r="X37" s="30">
        <f t="shared" ref="X37:X68" si="49">INDEX(ListTextCached,L37)</f>
        <v>0.06</v>
      </c>
      <c r="Y37" s="7">
        <f t="shared" ref="Y37:Y68" si="50">K37*(P37*T37+Q37*V37+R37*(I37*U37+(1-I37)*T37)+S37*(I37*X37+(1-I37)*W37))/1000000</f>
        <v>0.18190799999999999</v>
      </c>
      <c r="Z37" s="7">
        <f t="shared" ref="Z37:Z68" si="51">Y37/F37</f>
        <v>4.5476999999999997E-2</v>
      </c>
      <c r="AA37" s="25">
        <f t="shared" ref="AA37:AA68" si="52">T_calls1*E37*F37</f>
        <v>8</v>
      </c>
      <c r="AB37" s="25">
        <f t="shared" ref="AB37:AB68" si="53">T_calls2*E37*F37</f>
        <v>24</v>
      </c>
      <c r="AC37" s="25">
        <f t="shared" ref="AC37:AC68" si="54">T_calls3*E37*F37</f>
        <v>80</v>
      </c>
      <c r="AD37" s="25">
        <f t="shared" ref="AD37:AD68" si="55">MIN(AA37,M37)</f>
        <v>8</v>
      </c>
      <c r="AE37" s="25">
        <f t="shared" ref="AE37:AE68" si="56">MIN(AB37,M37)</f>
        <v>20</v>
      </c>
      <c r="AF37" s="25">
        <f t="shared" ref="AF37:AF68" si="57">MIN(AC37,M37)</f>
        <v>20</v>
      </c>
      <c r="AG37" s="25">
        <f t="shared" ref="AG37:AG68" si="58">T_share1*AD37+T_share2*AE37+T_share3*AF37</f>
        <v>14</v>
      </c>
      <c r="AH37" s="30">
        <f t="shared" ref="AH37:AH68" si="59">AG37*Z37</f>
        <v>0.63667799999999997</v>
      </c>
      <c r="AI37" s="25">
        <f t="shared" ref="AI37:AI68" si="60">PaidAvg*(1-C37)</f>
        <v>11340000</v>
      </c>
      <c r="AJ37" s="25">
        <f t="shared" ref="AJ37:AJ68" si="61">AI37*D37</f>
        <v>3402000</v>
      </c>
      <c r="AK37" s="33">
        <f t="shared" ref="AK37:AK68" si="62">AJ37*AH37*3</f>
        <v>6497935.6679999996</v>
      </c>
      <c r="AL37" s="33">
        <f t="shared" ref="AL37:AL68" si="63">N37*ARPU*AI37*3</f>
        <v>0</v>
      </c>
      <c r="AM37" s="5">
        <f t="shared" ref="AM37:AM68" si="64">GMb-AK37/(Rev+AL37)</f>
        <v>0.70601977767823776</v>
      </c>
    </row>
    <row r="38" spans="1:39" x14ac:dyDescent="0.45">
      <c r="A38" t="s">
        <v>446</v>
      </c>
      <c r="B38" t="s">
        <v>447</v>
      </c>
      <c r="C38" s="6">
        <f t="shared" si="34"/>
        <v>0.1</v>
      </c>
      <c r="D38" s="6">
        <f t="shared" si="35"/>
        <v>0.3</v>
      </c>
      <c r="E38" s="22">
        <f t="shared" si="36"/>
        <v>1</v>
      </c>
      <c r="F38" s="25">
        <f t="shared" si="37"/>
        <v>4</v>
      </c>
      <c r="G38" s="6">
        <f t="shared" si="38"/>
        <v>0.4</v>
      </c>
      <c r="H38" s="4">
        <f t="shared" si="39"/>
        <v>3</v>
      </c>
      <c r="I38" s="6">
        <f>J_c_hi</f>
        <v>0.95</v>
      </c>
      <c r="J38" s="4">
        <f t="shared" si="4"/>
        <v>1500</v>
      </c>
      <c r="K38" s="6">
        <f t="shared" si="5"/>
        <v>1</v>
      </c>
      <c r="L38" s="4">
        <f t="shared" si="32"/>
        <v>5</v>
      </c>
      <c r="M38" s="4">
        <f t="shared" si="33"/>
        <v>20</v>
      </c>
      <c r="N38" s="6">
        <f>0</f>
        <v>0</v>
      </c>
      <c r="O38" s="25">
        <f t="shared" si="40"/>
        <v>12</v>
      </c>
      <c r="P38" s="25">
        <f t="shared" si="41"/>
        <v>960</v>
      </c>
      <c r="Q38" s="25">
        <f t="shared" si="42"/>
        <v>2880</v>
      </c>
      <c r="R38" s="25">
        <f t="shared" si="43"/>
        <v>21120</v>
      </c>
      <c r="S38" s="25">
        <f t="shared" si="44"/>
        <v>18000</v>
      </c>
      <c r="T38" s="30">
        <f t="shared" si="45"/>
        <v>10</v>
      </c>
      <c r="U38" s="30">
        <f t="shared" si="46"/>
        <v>0.3</v>
      </c>
      <c r="V38" s="30">
        <f t="shared" si="47"/>
        <v>20</v>
      </c>
      <c r="W38" s="30">
        <f t="shared" si="48"/>
        <v>0.6</v>
      </c>
      <c r="X38" s="30">
        <f t="shared" si="49"/>
        <v>0.06</v>
      </c>
      <c r="Y38" s="7">
        <f t="shared" si="50"/>
        <v>8.534520000000001E-2</v>
      </c>
      <c r="Z38" s="7">
        <f t="shared" si="51"/>
        <v>2.1336300000000002E-2</v>
      </c>
      <c r="AA38" s="25">
        <f t="shared" si="52"/>
        <v>8</v>
      </c>
      <c r="AB38" s="25">
        <f t="shared" si="53"/>
        <v>24</v>
      </c>
      <c r="AC38" s="25">
        <f t="shared" si="54"/>
        <v>80</v>
      </c>
      <c r="AD38" s="25">
        <f t="shared" si="55"/>
        <v>8</v>
      </c>
      <c r="AE38" s="25">
        <f t="shared" si="56"/>
        <v>20</v>
      </c>
      <c r="AF38" s="25">
        <f t="shared" si="57"/>
        <v>20</v>
      </c>
      <c r="AG38" s="25">
        <f t="shared" si="58"/>
        <v>14</v>
      </c>
      <c r="AH38" s="30">
        <f t="shared" si="59"/>
        <v>0.29870820000000003</v>
      </c>
      <c r="AI38" s="25">
        <f t="shared" si="60"/>
        <v>11340000</v>
      </c>
      <c r="AJ38" s="25">
        <f t="shared" si="61"/>
        <v>3402000</v>
      </c>
      <c r="AK38" s="33">
        <f t="shared" si="62"/>
        <v>3048615.8892000001</v>
      </c>
      <c r="AL38" s="33">
        <f t="shared" si="63"/>
        <v>0</v>
      </c>
      <c r="AM38" s="5">
        <f t="shared" si="64"/>
        <v>0.71757706884806627</v>
      </c>
    </row>
    <row r="39" spans="1:39" x14ac:dyDescent="0.45">
      <c r="A39" t="s">
        <v>448</v>
      </c>
      <c r="B39" t="s">
        <v>449</v>
      </c>
      <c r="C39" s="6">
        <f t="shared" si="34"/>
        <v>0.1</v>
      </c>
      <c r="D39" s="6">
        <f t="shared" si="35"/>
        <v>0.3</v>
      </c>
      <c r="E39" s="22">
        <f t="shared" si="36"/>
        <v>1</v>
      </c>
      <c r="F39" s="25">
        <f t="shared" si="37"/>
        <v>4</v>
      </c>
      <c r="G39" s="6">
        <f t="shared" si="38"/>
        <v>0.4</v>
      </c>
      <c r="H39" s="4">
        <f t="shared" si="39"/>
        <v>3</v>
      </c>
      <c r="I39" s="6">
        <f>D_c</f>
        <v>0.8</v>
      </c>
      <c r="J39" s="4">
        <f>J_sysTok_lo</f>
        <v>800</v>
      </c>
      <c r="K39" s="6">
        <f t="shared" si="5"/>
        <v>1</v>
      </c>
      <c r="L39" s="4">
        <f t="shared" si="32"/>
        <v>5</v>
      </c>
      <c r="M39" s="4">
        <f t="shared" si="33"/>
        <v>20</v>
      </c>
      <c r="N39" s="6">
        <f>0</f>
        <v>0</v>
      </c>
      <c r="O39" s="25">
        <f t="shared" si="40"/>
        <v>12</v>
      </c>
      <c r="P39" s="25">
        <f t="shared" si="41"/>
        <v>960</v>
      </c>
      <c r="Q39" s="25">
        <f t="shared" si="42"/>
        <v>2880</v>
      </c>
      <c r="R39" s="25">
        <f t="shared" si="43"/>
        <v>21120</v>
      </c>
      <c r="S39" s="25">
        <f t="shared" si="44"/>
        <v>9600</v>
      </c>
      <c r="T39" s="30">
        <f t="shared" si="45"/>
        <v>10</v>
      </c>
      <c r="U39" s="30">
        <f t="shared" si="46"/>
        <v>0.3</v>
      </c>
      <c r="V39" s="30">
        <f t="shared" si="47"/>
        <v>20</v>
      </c>
      <c r="W39" s="30">
        <f t="shared" si="48"/>
        <v>0.6</v>
      </c>
      <c r="X39" s="30">
        <f t="shared" si="49"/>
        <v>0.06</v>
      </c>
      <c r="Y39" s="7">
        <f t="shared" si="50"/>
        <v>0.11612159999999999</v>
      </c>
      <c r="Z39" s="7">
        <f t="shared" si="51"/>
        <v>2.9030399999999998E-2</v>
      </c>
      <c r="AA39" s="25">
        <f t="shared" si="52"/>
        <v>8</v>
      </c>
      <c r="AB39" s="25">
        <f t="shared" si="53"/>
        <v>24</v>
      </c>
      <c r="AC39" s="25">
        <f t="shared" si="54"/>
        <v>80</v>
      </c>
      <c r="AD39" s="25">
        <f t="shared" si="55"/>
        <v>8</v>
      </c>
      <c r="AE39" s="25">
        <f t="shared" si="56"/>
        <v>20</v>
      </c>
      <c r="AF39" s="25">
        <f t="shared" si="57"/>
        <v>20</v>
      </c>
      <c r="AG39" s="25">
        <f t="shared" si="58"/>
        <v>14</v>
      </c>
      <c r="AH39" s="30">
        <f t="shared" si="59"/>
        <v>0.40642559999999994</v>
      </c>
      <c r="AI39" s="25">
        <f t="shared" si="60"/>
        <v>11340000</v>
      </c>
      <c r="AJ39" s="25">
        <f t="shared" si="61"/>
        <v>3402000</v>
      </c>
      <c r="AK39" s="33">
        <f t="shared" si="62"/>
        <v>4147979.6735999994</v>
      </c>
      <c r="AL39" s="33">
        <f t="shared" si="63"/>
        <v>0</v>
      </c>
      <c r="AM39" s="5">
        <f t="shared" si="64"/>
        <v>0.71389354045039033</v>
      </c>
    </row>
    <row r="40" spans="1:39" x14ac:dyDescent="0.45">
      <c r="A40" t="s">
        <v>450</v>
      </c>
      <c r="B40" t="s">
        <v>451</v>
      </c>
      <c r="C40" s="6">
        <f t="shared" si="34"/>
        <v>0.1</v>
      </c>
      <c r="D40" s="6">
        <f t="shared" si="35"/>
        <v>0.3</v>
      </c>
      <c r="E40" s="22">
        <f t="shared" si="36"/>
        <v>1</v>
      </c>
      <c r="F40" s="25">
        <f t="shared" si="37"/>
        <v>4</v>
      </c>
      <c r="G40" s="6">
        <f t="shared" si="38"/>
        <v>0.4</v>
      </c>
      <c r="H40" s="4">
        <f t="shared" si="39"/>
        <v>3</v>
      </c>
      <c r="I40" s="6">
        <f>D_c</f>
        <v>0.8</v>
      </c>
      <c r="J40" s="4">
        <f>J_sysTok_hi</f>
        <v>3000</v>
      </c>
      <c r="K40" s="6">
        <f t="shared" si="5"/>
        <v>1</v>
      </c>
      <c r="L40" s="4">
        <f t="shared" si="32"/>
        <v>5</v>
      </c>
      <c r="M40" s="4">
        <f t="shared" si="33"/>
        <v>20</v>
      </c>
      <c r="N40" s="6">
        <f>0</f>
        <v>0</v>
      </c>
      <c r="O40" s="25">
        <f t="shared" si="40"/>
        <v>12</v>
      </c>
      <c r="P40" s="25">
        <f t="shared" si="41"/>
        <v>960</v>
      </c>
      <c r="Q40" s="25">
        <f t="shared" si="42"/>
        <v>2880</v>
      </c>
      <c r="R40" s="25">
        <f t="shared" si="43"/>
        <v>21120</v>
      </c>
      <c r="S40" s="25">
        <f t="shared" si="44"/>
        <v>36000</v>
      </c>
      <c r="T40" s="30">
        <f t="shared" si="45"/>
        <v>10</v>
      </c>
      <c r="U40" s="30">
        <f t="shared" si="46"/>
        <v>0.3</v>
      </c>
      <c r="V40" s="30">
        <f t="shared" si="47"/>
        <v>20</v>
      </c>
      <c r="W40" s="30">
        <f t="shared" si="48"/>
        <v>0.6</v>
      </c>
      <c r="X40" s="30">
        <f t="shared" si="49"/>
        <v>0.06</v>
      </c>
      <c r="Y40" s="7">
        <f t="shared" si="50"/>
        <v>0.12055679999999999</v>
      </c>
      <c r="Z40" s="7">
        <f t="shared" si="51"/>
        <v>3.0139199999999998E-2</v>
      </c>
      <c r="AA40" s="25">
        <f t="shared" si="52"/>
        <v>8</v>
      </c>
      <c r="AB40" s="25">
        <f t="shared" si="53"/>
        <v>24</v>
      </c>
      <c r="AC40" s="25">
        <f t="shared" si="54"/>
        <v>80</v>
      </c>
      <c r="AD40" s="25">
        <f t="shared" si="55"/>
        <v>8</v>
      </c>
      <c r="AE40" s="25">
        <f t="shared" si="56"/>
        <v>20</v>
      </c>
      <c r="AF40" s="25">
        <f t="shared" si="57"/>
        <v>20</v>
      </c>
      <c r="AG40" s="25">
        <f t="shared" si="58"/>
        <v>14</v>
      </c>
      <c r="AH40" s="30">
        <f t="shared" si="59"/>
        <v>0.42194879999999996</v>
      </c>
      <c r="AI40" s="25">
        <f t="shared" si="60"/>
        <v>11340000</v>
      </c>
      <c r="AJ40" s="25">
        <f t="shared" si="61"/>
        <v>3402000</v>
      </c>
      <c r="AK40" s="33">
        <f t="shared" si="62"/>
        <v>4306409.4528000001</v>
      </c>
      <c r="AL40" s="33">
        <f t="shared" si="63"/>
        <v>0</v>
      </c>
      <c r="AM40" s="5">
        <f t="shared" si="64"/>
        <v>0.71336270561755177</v>
      </c>
    </row>
    <row r="41" spans="1:39" x14ac:dyDescent="0.45">
      <c r="A41" t="s">
        <v>452</v>
      </c>
      <c r="B41" t="s">
        <v>453</v>
      </c>
      <c r="C41" s="6">
        <f t="shared" si="34"/>
        <v>0.1</v>
      </c>
      <c r="D41" s="6">
        <f t="shared" si="35"/>
        <v>0.3</v>
      </c>
      <c r="E41" s="22">
        <f t="shared" si="36"/>
        <v>1</v>
      </c>
      <c r="F41" s="25">
        <f t="shared" si="37"/>
        <v>4</v>
      </c>
      <c r="G41" s="6">
        <f t="shared" si="38"/>
        <v>0.4</v>
      </c>
      <c r="H41" s="4">
        <f t="shared" si="39"/>
        <v>3</v>
      </c>
      <c r="I41" s="6">
        <f>D_c</f>
        <v>0.8</v>
      </c>
      <c r="J41" s="4">
        <f>D_sysTok</f>
        <v>1500</v>
      </c>
      <c r="K41" s="6">
        <f>J_realization_lo</f>
        <v>0.6</v>
      </c>
      <c r="L41" s="4">
        <f t="shared" si="32"/>
        <v>5</v>
      </c>
      <c r="M41" s="4">
        <f t="shared" si="33"/>
        <v>20</v>
      </c>
      <c r="N41" s="6">
        <f>0</f>
        <v>0</v>
      </c>
      <c r="O41" s="25">
        <f t="shared" si="40"/>
        <v>12</v>
      </c>
      <c r="P41" s="25">
        <f t="shared" si="41"/>
        <v>960</v>
      </c>
      <c r="Q41" s="25">
        <f t="shared" si="42"/>
        <v>2880</v>
      </c>
      <c r="R41" s="25">
        <f t="shared" si="43"/>
        <v>21120</v>
      </c>
      <c r="S41" s="25">
        <f t="shared" si="44"/>
        <v>18000</v>
      </c>
      <c r="T41" s="30">
        <f t="shared" si="45"/>
        <v>10</v>
      </c>
      <c r="U41" s="30">
        <f t="shared" si="46"/>
        <v>0.3</v>
      </c>
      <c r="V41" s="30">
        <f t="shared" si="47"/>
        <v>20</v>
      </c>
      <c r="W41" s="30">
        <f t="shared" si="48"/>
        <v>0.6</v>
      </c>
      <c r="X41" s="30">
        <f t="shared" si="49"/>
        <v>0.06</v>
      </c>
      <c r="Y41" s="7">
        <f t="shared" si="50"/>
        <v>7.0519679999999987E-2</v>
      </c>
      <c r="Z41" s="7">
        <f t="shared" si="51"/>
        <v>1.7629919999999997E-2</v>
      </c>
      <c r="AA41" s="25">
        <f t="shared" si="52"/>
        <v>8</v>
      </c>
      <c r="AB41" s="25">
        <f t="shared" si="53"/>
        <v>24</v>
      </c>
      <c r="AC41" s="25">
        <f t="shared" si="54"/>
        <v>80</v>
      </c>
      <c r="AD41" s="25">
        <f t="shared" si="55"/>
        <v>8</v>
      </c>
      <c r="AE41" s="25">
        <f t="shared" si="56"/>
        <v>20</v>
      </c>
      <c r="AF41" s="25">
        <f t="shared" si="57"/>
        <v>20</v>
      </c>
      <c r="AG41" s="25">
        <f t="shared" si="58"/>
        <v>14</v>
      </c>
      <c r="AH41" s="30">
        <f t="shared" si="59"/>
        <v>0.24681887999999996</v>
      </c>
      <c r="AI41" s="25">
        <f t="shared" si="60"/>
        <v>11340000</v>
      </c>
      <c r="AJ41" s="25">
        <f t="shared" si="61"/>
        <v>3402000</v>
      </c>
      <c r="AK41" s="33">
        <f t="shared" si="62"/>
        <v>2519033.4892799994</v>
      </c>
      <c r="AL41" s="33">
        <f t="shared" si="63"/>
        <v>0</v>
      </c>
      <c r="AM41" s="5">
        <f t="shared" si="64"/>
        <v>0.71935148768621227</v>
      </c>
    </row>
    <row r="42" spans="1:39" x14ac:dyDescent="0.45">
      <c r="A42" t="s">
        <v>454</v>
      </c>
      <c r="B42" t="s">
        <v>455</v>
      </c>
      <c r="C42" s="6">
        <f t="shared" si="34"/>
        <v>0.1</v>
      </c>
      <c r="D42" s="6">
        <f t="shared" si="35"/>
        <v>0.3</v>
      </c>
      <c r="E42" s="22">
        <f t="shared" si="36"/>
        <v>1</v>
      </c>
      <c r="F42" s="25">
        <f t="shared" si="37"/>
        <v>4</v>
      </c>
      <c r="G42" s="6">
        <f t="shared" si="38"/>
        <v>0.4</v>
      </c>
      <c r="H42" s="4">
        <f t="shared" si="39"/>
        <v>3</v>
      </c>
      <c r="I42" s="6">
        <f>D_c</f>
        <v>0.8</v>
      </c>
      <c r="J42" s="4">
        <f>D_sysTok</f>
        <v>1500</v>
      </c>
      <c r="K42" s="6">
        <f>J_realization_hi</f>
        <v>1</v>
      </c>
      <c r="L42" s="4">
        <f t="shared" si="32"/>
        <v>5</v>
      </c>
      <c r="M42" s="4">
        <f t="shared" si="33"/>
        <v>20</v>
      </c>
      <c r="N42" s="6">
        <f>0</f>
        <v>0</v>
      </c>
      <c r="O42" s="25">
        <f t="shared" si="40"/>
        <v>12</v>
      </c>
      <c r="P42" s="25">
        <f t="shared" si="41"/>
        <v>960</v>
      </c>
      <c r="Q42" s="25">
        <f t="shared" si="42"/>
        <v>2880</v>
      </c>
      <c r="R42" s="25">
        <f t="shared" si="43"/>
        <v>21120</v>
      </c>
      <c r="S42" s="25">
        <f t="shared" si="44"/>
        <v>18000</v>
      </c>
      <c r="T42" s="30">
        <f t="shared" si="45"/>
        <v>10</v>
      </c>
      <c r="U42" s="30">
        <f t="shared" si="46"/>
        <v>0.3</v>
      </c>
      <c r="V42" s="30">
        <f t="shared" si="47"/>
        <v>20</v>
      </c>
      <c r="W42" s="30">
        <f t="shared" si="48"/>
        <v>0.6</v>
      </c>
      <c r="X42" s="30">
        <f t="shared" si="49"/>
        <v>0.06</v>
      </c>
      <c r="Y42" s="7">
        <f t="shared" si="50"/>
        <v>0.11753279999999999</v>
      </c>
      <c r="Z42" s="7">
        <f t="shared" si="51"/>
        <v>2.9383199999999998E-2</v>
      </c>
      <c r="AA42" s="25">
        <f t="shared" si="52"/>
        <v>8</v>
      </c>
      <c r="AB42" s="25">
        <f t="shared" si="53"/>
        <v>24</v>
      </c>
      <c r="AC42" s="25">
        <f t="shared" si="54"/>
        <v>80</v>
      </c>
      <c r="AD42" s="25">
        <f t="shared" si="55"/>
        <v>8</v>
      </c>
      <c r="AE42" s="25">
        <f t="shared" si="56"/>
        <v>20</v>
      </c>
      <c r="AF42" s="25">
        <f t="shared" si="57"/>
        <v>20</v>
      </c>
      <c r="AG42" s="25">
        <f t="shared" si="58"/>
        <v>14</v>
      </c>
      <c r="AH42" s="30">
        <f t="shared" si="59"/>
        <v>0.41136479999999997</v>
      </c>
      <c r="AI42" s="25">
        <f t="shared" si="60"/>
        <v>11340000</v>
      </c>
      <c r="AJ42" s="25">
        <f t="shared" si="61"/>
        <v>3402000</v>
      </c>
      <c r="AK42" s="33">
        <f t="shared" si="62"/>
        <v>4198389.1488000005</v>
      </c>
      <c r="AL42" s="33">
        <f t="shared" si="63"/>
        <v>0</v>
      </c>
      <c r="AM42" s="5">
        <f t="shared" si="64"/>
        <v>0.71372463845812351</v>
      </c>
    </row>
    <row r="43" spans="1:39" x14ac:dyDescent="0.45">
      <c r="A43" t="s">
        <v>456</v>
      </c>
      <c r="B43" t="s">
        <v>457</v>
      </c>
      <c r="C43" s="6">
        <f>IF(Top1Idx=1,CHOOSE(1,J_maxShare_lo,(J_maxShare_lo+D_maxShare)/2,D_maxShare,(D_maxShare+J_maxShare_hi)/2,J_maxShare_hi),IF(Top2Idx=1,CHOOSE(1,J_maxShare_lo,(J_maxShare_lo+D_maxShare)/2,D_maxShare,(D_maxShare+J_maxShare_hi)/2,J_maxShare_hi),D_maxShare))</f>
        <v>0.1</v>
      </c>
      <c r="D43" s="6">
        <f>IF(Top1Idx=2,CHOOSE(1,J_adoptSuper_lo,(J_adoptSuper_lo+D_adoptSuper)/2,D_adoptSuper,(D_adoptSuper+J_adoptSuper_hi)/2,J_adoptSuper_hi),IF(Top2Idx=2,CHOOSE(1,J_adoptSuper_lo,(J_adoptSuper_lo+D_adoptSuper)/2,D_adoptSuper,(D_adoptSuper+J_adoptSuper_hi)/2,J_adoptSuper_hi),D_adoptSuper))</f>
        <v>0.15</v>
      </c>
      <c r="E43" s="22">
        <f>IF(Top1Idx=3,CHOOSE(1,J_callsScale_lo,(J_callsScale_lo+D_callsScale)/2,D_callsScale,(D_callsScale+J_callsScale_hi)/2,J_callsScale_hi),IF(Top2Idx=3,CHOOSE(1,J_callsScale_lo,(J_callsScale_lo+D_callsScale)/2,D_callsScale,(D_callsScale+J_callsScale_hi)/2,J_callsScale_hi),D_callsScale))</f>
        <v>1</v>
      </c>
      <c r="F43" s="25">
        <f>IF(Top1Idx=4,CHOOSE(1,J_L_lo,(J_L_lo+D_L)/2,D_L,(D_L+J_L_hi)/2,J_L_hi),IF(Top2Idx=4,CHOOSE(1,J_L_lo,(J_L_lo+D_L)/2,D_L,(D_L+J_L_hi)/2,J_L_hi),D_L))</f>
        <v>4</v>
      </c>
      <c r="G43" s="6">
        <f>IF(Top1Idx=5,CHOOSE(1,J_s_lo,(J_s_lo+D_s)/2,D_s,(D_s+J_s_hi)/2,J_s_hi),IF(Top2Idx=5,CHOOSE(1,J_s_lo,(J_s_lo+D_s)/2,D_s,(D_s+J_s_hi)/2,J_s_hi),D_s))</f>
        <v>0.4</v>
      </c>
      <c r="H43" s="4">
        <f>IF(Top1Idx=6,CHOOSE(1,J_r_lo,(J_r_lo+D_r)/2,D_r,(D_r+J_r_hi)/2,J_r_hi),IF(Top2Idx=6,CHOOSE(1,J_r_lo,(J_r_lo+D_r)/2,D_r,(D_r+J_r_hi)/2,J_r_hi),D_r))</f>
        <v>3</v>
      </c>
      <c r="I43" s="6">
        <f>IF(Top1Idx=7,CHOOSE(1,J_c_lo,(J_c_lo+D_c)/2,D_c,(D_c+J_c_hi)/2,J_c_hi),IF(Top2Idx=7,CHOOSE(1,J_c_lo,(J_c_lo+D_c)/2,D_c,(D_c+J_c_hi)/2,J_c_hi),D_c))</f>
        <v>0.5</v>
      </c>
      <c r="J43" s="4">
        <f>IF(Top1Idx=8,CHOOSE(1,J_sysTok_lo,(J_sysTok_lo+D_sysTok)/2,D_sysTok,(D_sysTok+J_sysTok_hi)/2,J_sysTok_hi),IF(Top2Idx=8,CHOOSE(1,J_sysTok_lo,(J_sysTok_lo+D_sysTok)/2,D_sysTok,(D_sysTok+J_sysTok_hi)/2,J_sysTok_hi),D_sysTok))</f>
        <v>1500</v>
      </c>
      <c r="K43" s="6">
        <f>IF(Top1Idx=9,CHOOSE(1,J_realization_lo,(J_realization_lo+D_realization)/2,D_realization,(D_realization+J_realization_hi)/2,J_realization_hi),IF(Top2Idx=9,CHOOSE(1,J_realization_lo,(J_realization_lo+D_realization)/2,D_realization,(D_realization+J_realization_hi)/2,J_realization_hi),D_realization))</f>
        <v>1</v>
      </c>
      <c r="L43" s="4">
        <f t="shared" si="32"/>
        <v>5</v>
      </c>
      <c r="M43" s="4">
        <f t="shared" si="33"/>
        <v>20</v>
      </c>
      <c r="N43" s="6">
        <f>0</f>
        <v>0</v>
      </c>
      <c r="O43" s="25">
        <f t="shared" si="40"/>
        <v>12</v>
      </c>
      <c r="P43" s="25">
        <f t="shared" si="41"/>
        <v>960</v>
      </c>
      <c r="Q43" s="25">
        <f t="shared" si="42"/>
        <v>2880</v>
      </c>
      <c r="R43" s="25">
        <f t="shared" si="43"/>
        <v>21120</v>
      </c>
      <c r="S43" s="25">
        <f t="shared" si="44"/>
        <v>18000</v>
      </c>
      <c r="T43" s="30">
        <f t="shared" si="45"/>
        <v>10</v>
      </c>
      <c r="U43" s="30">
        <f t="shared" si="46"/>
        <v>0.3</v>
      </c>
      <c r="V43" s="30">
        <f t="shared" si="47"/>
        <v>20</v>
      </c>
      <c r="W43" s="30">
        <f t="shared" si="48"/>
        <v>0.6</v>
      </c>
      <c r="X43" s="30">
        <f t="shared" si="49"/>
        <v>0.06</v>
      </c>
      <c r="Y43" s="7">
        <f t="shared" si="50"/>
        <v>0.18190799999999999</v>
      </c>
      <c r="Z43" s="7">
        <f t="shared" si="51"/>
        <v>4.5476999999999997E-2</v>
      </c>
      <c r="AA43" s="25">
        <f t="shared" si="52"/>
        <v>8</v>
      </c>
      <c r="AB43" s="25">
        <f t="shared" si="53"/>
        <v>24</v>
      </c>
      <c r="AC43" s="25">
        <f t="shared" si="54"/>
        <v>80</v>
      </c>
      <c r="AD43" s="25">
        <f t="shared" si="55"/>
        <v>8</v>
      </c>
      <c r="AE43" s="25">
        <f t="shared" si="56"/>
        <v>20</v>
      </c>
      <c r="AF43" s="25">
        <f t="shared" si="57"/>
        <v>20</v>
      </c>
      <c r="AG43" s="25">
        <f t="shared" si="58"/>
        <v>14</v>
      </c>
      <c r="AH43" s="30">
        <f t="shared" si="59"/>
        <v>0.63667799999999997</v>
      </c>
      <c r="AI43" s="25">
        <f t="shared" si="60"/>
        <v>11340000</v>
      </c>
      <c r="AJ43" s="25">
        <f t="shared" si="61"/>
        <v>1701000</v>
      </c>
      <c r="AK43" s="33">
        <f t="shared" si="62"/>
        <v>3248967.8339999998</v>
      </c>
      <c r="AL43" s="33">
        <f t="shared" si="63"/>
        <v>0</v>
      </c>
      <c r="AM43" s="5">
        <f t="shared" si="64"/>
        <v>0.71690576960329155</v>
      </c>
    </row>
    <row r="44" spans="1:39" x14ac:dyDescent="0.45">
      <c r="A44" t="s">
        <v>458</v>
      </c>
      <c r="B44" t="s">
        <v>459</v>
      </c>
      <c r="C44" s="6">
        <f>IF(Top1Idx=1,CHOOSE(1,J_maxShare_lo,(J_maxShare_lo+D_maxShare)/2,D_maxShare,(D_maxShare+J_maxShare_hi)/2,J_maxShare_hi),IF(Top2Idx=1,CHOOSE(2,J_maxShare_lo,(J_maxShare_lo+D_maxShare)/2,D_maxShare,(D_maxShare+J_maxShare_hi)/2,J_maxShare_hi),D_maxShare))</f>
        <v>0.1</v>
      </c>
      <c r="D44" s="6">
        <f>IF(Top1Idx=2,CHOOSE(1,J_adoptSuper_lo,(J_adoptSuper_lo+D_adoptSuper)/2,D_adoptSuper,(D_adoptSuper+J_adoptSuper_hi)/2,J_adoptSuper_hi),IF(Top2Idx=2,CHOOSE(2,J_adoptSuper_lo,(J_adoptSuper_lo+D_adoptSuper)/2,D_adoptSuper,(D_adoptSuper+J_adoptSuper_hi)/2,J_adoptSuper_hi),D_adoptSuper))</f>
        <v>0.15</v>
      </c>
      <c r="E44" s="22">
        <f>IF(Top1Idx=3,CHOOSE(1,J_callsScale_lo,(J_callsScale_lo+D_callsScale)/2,D_callsScale,(D_callsScale+J_callsScale_hi)/2,J_callsScale_hi),IF(Top2Idx=3,CHOOSE(2,J_callsScale_lo,(J_callsScale_lo+D_callsScale)/2,D_callsScale,(D_callsScale+J_callsScale_hi)/2,J_callsScale_hi),D_callsScale))</f>
        <v>1</v>
      </c>
      <c r="F44" s="25">
        <f>IF(Top1Idx=4,CHOOSE(1,J_L_lo,(J_L_lo+D_L)/2,D_L,(D_L+J_L_hi)/2,J_L_hi),IF(Top2Idx=4,CHOOSE(2,J_L_lo,(J_L_lo+D_L)/2,D_L,(D_L+J_L_hi)/2,J_L_hi),D_L))</f>
        <v>4</v>
      </c>
      <c r="G44" s="6">
        <f>IF(Top1Idx=5,CHOOSE(1,J_s_lo,(J_s_lo+D_s)/2,D_s,(D_s+J_s_hi)/2,J_s_hi),IF(Top2Idx=5,CHOOSE(2,J_s_lo,(J_s_lo+D_s)/2,D_s,(D_s+J_s_hi)/2,J_s_hi),D_s))</f>
        <v>0.4</v>
      </c>
      <c r="H44" s="4">
        <f>IF(Top1Idx=6,CHOOSE(1,J_r_lo,(J_r_lo+D_r)/2,D_r,(D_r+J_r_hi)/2,J_r_hi),IF(Top2Idx=6,CHOOSE(2,J_r_lo,(J_r_lo+D_r)/2,D_r,(D_r+J_r_hi)/2,J_r_hi),D_r))</f>
        <v>3</v>
      </c>
      <c r="I44" s="6">
        <f>IF(Top1Idx=7,CHOOSE(1,J_c_lo,(J_c_lo+D_c)/2,D_c,(D_c+J_c_hi)/2,J_c_hi),IF(Top2Idx=7,CHOOSE(2,J_c_lo,(J_c_lo+D_c)/2,D_c,(D_c+J_c_hi)/2,J_c_hi),D_c))</f>
        <v>0.65</v>
      </c>
      <c r="J44" s="4">
        <f>IF(Top1Idx=8,CHOOSE(1,J_sysTok_lo,(J_sysTok_lo+D_sysTok)/2,D_sysTok,(D_sysTok+J_sysTok_hi)/2,J_sysTok_hi),IF(Top2Idx=8,CHOOSE(2,J_sysTok_lo,(J_sysTok_lo+D_sysTok)/2,D_sysTok,(D_sysTok+J_sysTok_hi)/2,J_sysTok_hi),D_sysTok))</f>
        <v>1500</v>
      </c>
      <c r="K44" s="6">
        <f>IF(Top1Idx=9,CHOOSE(1,J_realization_lo,(J_realization_lo+D_realization)/2,D_realization,(D_realization+J_realization_hi)/2,J_realization_hi),IF(Top2Idx=9,CHOOSE(2,J_realization_lo,(J_realization_lo+D_realization)/2,D_realization,(D_realization+J_realization_hi)/2,J_realization_hi),D_realization))</f>
        <v>1</v>
      </c>
      <c r="L44" s="4">
        <f t="shared" si="32"/>
        <v>5</v>
      </c>
      <c r="M44" s="4">
        <f t="shared" si="33"/>
        <v>20</v>
      </c>
      <c r="N44" s="6">
        <f>0</f>
        <v>0</v>
      </c>
      <c r="O44" s="25">
        <f t="shared" si="40"/>
        <v>12</v>
      </c>
      <c r="P44" s="25">
        <f t="shared" si="41"/>
        <v>960</v>
      </c>
      <c r="Q44" s="25">
        <f t="shared" si="42"/>
        <v>2880</v>
      </c>
      <c r="R44" s="25">
        <f t="shared" si="43"/>
        <v>21120</v>
      </c>
      <c r="S44" s="25">
        <f t="shared" si="44"/>
        <v>18000</v>
      </c>
      <c r="T44" s="30">
        <f t="shared" si="45"/>
        <v>10</v>
      </c>
      <c r="U44" s="30">
        <f t="shared" si="46"/>
        <v>0.3</v>
      </c>
      <c r="V44" s="30">
        <f t="shared" si="47"/>
        <v>20</v>
      </c>
      <c r="W44" s="30">
        <f t="shared" si="48"/>
        <v>0.6</v>
      </c>
      <c r="X44" s="30">
        <f t="shared" si="49"/>
        <v>0.06</v>
      </c>
      <c r="Y44" s="7">
        <f t="shared" si="50"/>
        <v>0.1497204</v>
      </c>
      <c r="Z44" s="7">
        <f t="shared" si="51"/>
        <v>3.7430100000000001E-2</v>
      </c>
      <c r="AA44" s="25">
        <f t="shared" si="52"/>
        <v>8</v>
      </c>
      <c r="AB44" s="25">
        <f t="shared" si="53"/>
        <v>24</v>
      </c>
      <c r="AC44" s="25">
        <f t="shared" si="54"/>
        <v>80</v>
      </c>
      <c r="AD44" s="25">
        <f t="shared" si="55"/>
        <v>8</v>
      </c>
      <c r="AE44" s="25">
        <f t="shared" si="56"/>
        <v>20</v>
      </c>
      <c r="AF44" s="25">
        <f t="shared" si="57"/>
        <v>20</v>
      </c>
      <c r="AG44" s="25">
        <f t="shared" si="58"/>
        <v>14</v>
      </c>
      <c r="AH44" s="30">
        <f t="shared" si="59"/>
        <v>0.52402139999999997</v>
      </c>
      <c r="AI44" s="25">
        <f t="shared" si="60"/>
        <v>11340000</v>
      </c>
      <c r="AJ44" s="25">
        <f t="shared" si="61"/>
        <v>1701000</v>
      </c>
      <c r="AK44" s="33">
        <f t="shared" si="62"/>
        <v>2674081.2042</v>
      </c>
      <c r="AL44" s="33">
        <f t="shared" si="63"/>
        <v>0</v>
      </c>
      <c r="AM44" s="5">
        <f t="shared" si="64"/>
        <v>0.71883198479826294</v>
      </c>
    </row>
    <row r="45" spans="1:39" x14ac:dyDescent="0.45">
      <c r="A45" t="s">
        <v>460</v>
      </c>
      <c r="B45" t="s">
        <v>461</v>
      </c>
      <c r="C45" s="6">
        <f>IF(Top1Idx=1,CHOOSE(1,J_maxShare_lo,(J_maxShare_lo+D_maxShare)/2,D_maxShare,(D_maxShare+J_maxShare_hi)/2,J_maxShare_hi),IF(Top2Idx=1,CHOOSE(3,J_maxShare_lo,(J_maxShare_lo+D_maxShare)/2,D_maxShare,(D_maxShare+J_maxShare_hi)/2,J_maxShare_hi),D_maxShare))</f>
        <v>0.1</v>
      </c>
      <c r="D45" s="6">
        <f>IF(Top1Idx=2,CHOOSE(1,J_adoptSuper_lo,(J_adoptSuper_lo+D_adoptSuper)/2,D_adoptSuper,(D_adoptSuper+J_adoptSuper_hi)/2,J_adoptSuper_hi),IF(Top2Idx=2,CHOOSE(3,J_adoptSuper_lo,(J_adoptSuper_lo+D_adoptSuper)/2,D_adoptSuper,(D_adoptSuper+J_adoptSuper_hi)/2,J_adoptSuper_hi),D_adoptSuper))</f>
        <v>0.15</v>
      </c>
      <c r="E45" s="22">
        <f>IF(Top1Idx=3,CHOOSE(1,J_callsScale_lo,(J_callsScale_lo+D_callsScale)/2,D_callsScale,(D_callsScale+J_callsScale_hi)/2,J_callsScale_hi),IF(Top2Idx=3,CHOOSE(3,J_callsScale_lo,(J_callsScale_lo+D_callsScale)/2,D_callsScale,(D_callsScale+J_callsScale_hi)/2,J_callsScale_hi),D_callsScale))</f>
        <v>1</v>
      </c>
      <c r="F45" s="25">
        <f>IF(Top1Idx=4,CHOOSE(1,J_L_lo,(J_L_lo+D_L)/2,D_L,(D_L+J_L_hi)/2,J_L_hi),IF(Top2Idx=4,CHOOSE(3,J_L_lo,(J_L_lo+D_L)/2,D_L,(D_L+J_L_hi)/2,J_L_hi),D_L))</f>
        <v>4</v>
      </c>
      <c r="G45" s="6">
        <f>IF(Top1Idx=5,CHOOSE(1,J_s_lo,(J_s_lo+D_s)/2,D_s,(D_s+J_s_hi)/2,J_s_hi),IF(Top2Idx=5,CHOOSE(3,J_s_lo,(J_s_lo+D_s)/2,D_s,(D_s+J_s_hi)/2,J_s_hi),D_s))</f>
        <v>0.4</v>
      </c>
      <c r="H45" s="4">
        <f>IF(Top1Idx=6,CHOOSE(1,J_r_lo,(J_r_lo+D_r)/2,D_r,(D_r+J_r_hi)/2,J_r_hi),IF(Top2Idx=6,CHOOSE(3,J_r_lo,(J_r_lo+D_r)/2,D_r,(D_r+J_r_hi)/2,J_r_hi),D_r))</f>
        <v>3</v>
      </c>
      <c r="I45" s="6">
        <f>IF(Top1Idx=7,CHOOSE(1,J_c_lo,(J_c_lo+D_c)/2,D_c,(D_c+J_c_hi)/2,J_c_hi),IF(Top2Idx=7,CHOOSE(3,J_c_lo,(J_c_lo+D_c)/2,D_c,(D_c+J_c_hi)/2,J_c_hi),D_c))</f>
        <v>0.8</v>
      </c>
      <c r="J45" s="4">
        <f>IF(Top1Idx=8,CHOOSE(1,J_sysTok_lo,(J_sysTok_lo+D_sysTok)/2,D_sysTok,(D_sysTok+J_sysTok_hi)/2,J_sysTok_hi),IF(Top2Idx=8,CHOOSE(3,J_sysTok_lo,(J_sysTok_lo+D_sysTok)/2,D_sysTok,(D_sysTok+J_sysTok_hi)/2,J_sysTok_hi),D_sysTok))</f>
        <v>1500</v>
      </c>
      <c r="K45" s="6">
        <f>IF(Top1Idx=9,CHOOSE(1,J_realization_lo,(J_realization_lo+D_realization)/2,D_realization,(D_realization+J_realization_hi)/2,J_realization_hi),IF(Top2Idx=9,CHOOSE(3,J_realization_lo,(J_realization_lo+D_realization)/2,D_realization,(D_realization+J_realization_hi)/2,J_realization_hi),D_realization))</f>
        <v>1</v>
      </c>
      <c r="L45" s="4">
        <f t="shared" si="32"/>
        <v>5</v>
      </c>
      <c r="M45" s="4">
        <f t="shared" si="33"/>
        <v>20</v>
      </c>
      <c r="N45" s="6">
        <f>0</f>
        <v>0</v>
      </c>
      <c r="O45" s="25">
        <f t="shared" si="40"/>
        <v>12</v>
      </c>
      <c r="P45" s="25">
        <f t="shared" si="41"/>
        <v>960</v>
      </c>
      <c r="Q45" s="25">
        <f t="shared" si="42"/>
        <v>2880</v>
      </c>
      <c r="R45" s="25">
        <f t="shared" si="43"/>
        <v>21120</v>
      </c>
      <c r="S45" s="25">
        <f t="shared" si="44"/>
        <v>18000</v>
      </c>
      <c r="T45" s="30">
        <f t="shared" si="45"/>
        <v>10</v>
      </c>
      <c r="U45" s="30">
        <f t="shared" si="46"/>
        <v>0.3</v>
      </c>
      <c r="V45" s="30">
        <f t="shared" si="47"/>
        <v>20</v>
      </c>
      <c r="W45" s="30">
        <f t="shared" si="48"/>
        <v>0.6</v>
      </c>
      <c r="X45" s="30">
        <f t="shared" si="49"/>
        <v>0.06</v>
      </c>
      <c r="Y45" s="7">
        <f t="shared" si="50"/>
        <v>0.11753279999999999</v>
      </c>
      <c r="Z45" s="7">
        <f t="shared" si="51"/>
        <v>2.9383199999999998E-2</v>
      </c>
      <c r="AA45" s="25">
        <f t="shared" si="52"/>
        <v>8</v>
      </c>
      <c r="AB45" s="25">
        <f t="shared" si="53"/>
        <v>24</v>
      </c>
      <c r="AC45" s="25">
        <f t="shared" si="54"/>
        <v>80</v>
      </c>
      <c r="AD45" s="25">
        <f t="shared" si="55"/>
        <v>8</v>
      </c>
      <c r="AE45" s="25">
        <f t="shared" si="56"/>
        <v>20</v>
      </c>
      <c r="AF45" s="25">
        <f t="shared" si="57"/>
        <v>20</v>
      </c>
      <c r="AG45" s="25">
        <f t="shared" si="58"/>
        <v>14</v>
      </c>
      <c r="AH45" s="30">
        <f t="shared" si="59"/>
        <v>0.41136479999999997</v>
      </c>
      <c r="AI45" s="25">
        <f t="shared" si="60"/>
        <v>11340000</v>
      </c>
      <c r="AJ45" s="25">
        <f t="shared" si="61"/>
        <v>1701000</v>
      </c>
      <c r="AK45" s="33">
        <f t="shared" si="62"/>
        <v>2099194.5744000003</v>
      </c>
      <c r="AL45" s="33">
        <f t="shared" si="63"/>
        <v>0</v>
      </c>
      <c r="AM45" s="5">
        <f t="shared" si="64"/>
        <v>0.72075819999323443</v>
      </c>
    </row>
    <row r="46" spans="1:39" x14ac:dyDescent="0.45">
      <c r="A46" t="s">
        <v>462</v>
      </c>
      <c r="B46" t="s">
        <v>463</v>
      </c>
      <c r="C46" s="6">
        <f>IF(Top1Idx=1,CHOOSE(1,J_maxShare_lo,(J_maxShare_lo+D_maxShare)/2,D_maxShare,(D_maxShare+J_maxShare_hi)/2,J_maxShare_hi),IF(Top2Idx=1,CHOOSE(4,J_maxShare_lo,(J_maxShare_lo+D_maxShare)/2,D_maxShare,(D_maxShare+J_maxShare_hi)/2,J_maxShare_hi),D_maxShare))</f>
        <v>0.1</v>
      </c>
      <c r="D46" s="6">
        <f>IF(Top1Idx=2,CHOOSE(1,J_adoptSuper_lo,(J_adoptSuper_lo+D_adoptSuper)/2,D_adoptSuper,(D_adoptSuper+J_adoptSuper_hi)/2,J_adoptSuper_hi),IF(Top2Idx=2,CHOOSE(4,J_adoptSuper_lo,(J_adoptSuper_lo+D_adoptSuper)/2,D_adoptSuper,(D_adoptSuper+J_adoptSuper_hi)/2,J_adoptSuper_hi),D_adoptSuper))</f>
        <v>0.15</v>
      </c>
      <c r="E46" s="22">
        <f>IF(Top1Idx=3,CHOOSE(1,J_callsScale_lo,(J_callsScale_lo+D_callsScale)/2,D_callsScale,(D_callsScale+J_callsScale_hi)/2,J_callsScale_hi),IF(Top2Idx=3,CHOOSE(4,J_callsScale_lo,(J_callsScale_lo+D_callsScale)/2,D_callsScale,(D_callsScale+J_callsScale_hi)/2,J_callsScale_hi),D_callsScale))</f>
        <v>1</v>
      </c>
      <c r="F46" s="25">
        <f>IF(Top1Idx=4,CHOOSE(1,J_L_lo,(J_L_lo+D_L)/2,D_L,(D_L+J_L_hi)/2,J_L_hi),IF(Top2Idx=4,CHOOSE(4,J_L_lo,(J_L_lo+D_L)/2,D_L,(D_L+J_L_hi)/2,J_L_hi),D_L))</f>
        <v>4</v>
      </c>
      <c r="G46" s="6">
        <f>IF(Top1Idx=5,CHOOSE(1,J_s_lo,(J_s_lo+D_s)/2,D_s,(D_s+J_s_hi)/2,J_s_hi),IF(Top2Idx=5,CHOOSE(4,J_s_lo,(J_s_lo+D_s)/2,D_s,(D_s+J_s_hi)/2,J_s_hi),D_s))</f>
        <v>0.4</v>
      </c>
      <c r="H46" s="4">
        <f>IF(Top1Idx=6,CHOOSE(1,J_r_lo,(J_r_lo+D_r)/2,D_r,(D_r+J_r_hi)/2,J_r_hi),IF(Top2Idx=6,CHOOSE(4,J_r_lo,(J_r_lo+D_r)/2,D_r,(D_r+J_r_hi)/2,J_r_hi),D_r))</f>
        <v>3</v>
      </c>
      <c r="I46" s="6">
        <f>IF(Top1Idx=7,CHOOSE(1,J_c_lo,(J_c_lo+D_c)/2,D_c,(D_c+J_c_hi)/2,J_c_hi),IF(Top2Idx=7,CHOOSE(4,J_c_lo,(J_c_lo+D_c)/2,D_c,(D_c+J_c_hi)/2,J_c_hi),D_c))</f>
        <v>0.875</v>
      </c>
      <c r="J46" s="4">
        <f>IF(Top1Idx=8,CHOOSE(1,J_sysTok_lo,(J_sysTok_lo+D_sysTok)/2,D_sysTok,(D_sysTok+J_sysTok_hi)/2,J_sysTok_hi),IF(Top2Idx=8,CHOOSE(4,J_sysTok_lo,(J_sysTok_lo+D_sysTok)/2,D_sysTok,(D_sysTok+J_sysTok_hi)/2,J_sysTok_hi),D_sysTok))</f>
        <v>1500</v>
      </c>
      <c r="K46" s="6">
        <f>IF(Top1Idx=9,CHOOSE(1,J_realization_lo,(J_realization_lo+D_realization)/2,D_realization,(D_realization+J_realization_hi)/2,J_realization_hi),IF(Top2Idx=9,CHOOSE(4,J_realization_lo,(J_realization_lo+D_realization)/2,D_realization,(D_realization+J_realization_hi)/2,J_realization_hi),D_realization))</f>
        <v>1</v>
      </c>
      <c r="L46" s="4">
        <f t="shared" si="32"/>
        <v>5</v>
      </c>
      <c r="M46" s="4">
        <f t="shared" si="33"/>
        <v>20</v>
      </c>
      <c r="N46" s="6">
        <f>0</f>
        <v>0</v>
      </c>
      <c r="O46" s="25">
        <f t="shared" si="40"/>
        <v>12</v>
      </c>
      <c r="P46" s="25">
        <f t="shared" si="41"/>
        <v>960</v>
      </c>
      <c r="Q46" s="25">
        <f t="shared" si="42"/>
        <v>2880</v>
      </c>
      <c r="R46" s="25">
        <f t="shared" si="43"/>
        <v>21120</v>
      </c>
      <c r="S46" s="25">
        <f t="shared" si="44"/>
        <v>18000</v>
      </c>
      <c r="T46" s="30">
        <f t="shared" si="45"/>
        <v>10</v>
      </c>
      <c r="U46" s="30">
        <f t="shared" si="46"/>
        <v>0.3</v>
      </c>
      <c r="V46" s="30">
        <f t="shared" si="47"/>
        <v>20</v>
      </c>
      <c r="W46" s="30">
        <f t="shared" si="48"/>
        <v>0.6</v>
      </c>
      <c r="X46" s="30">
        <f t="shared" si="49"/>
        <v>0.06</v>
      </c>
      <c r="Y46" s="7">
        <f t="shared" si="50"/>
        <v>0.101439</v>
      </c>
      <c r="Z46" s="7">
        <f t="shared" si="51"/>
        <v>2.535975E-2</v>
      </c>
      <c r="AA46" s="25">
        <f t="shared" si="52"/>
        <v>8</v>
      </c>
      <c r="AB46" s="25">
        <f t="shared" si="53"/>
        <v>24</v>
      </c>
      <c r="AC46" s="25">
        <f t="shared" si="54"/>
        <v>80</v>
      </c>
      <c r="AD46" s="25">
        <f t="shared" si="55"/>
        <v>8</v>
      </c>
      <c r="AE46" s="25">
        <f t="shared" si="56"/>
        <v>20</v>
      </c>
      <c r="AF46" s="25">
        <f t="shared" si="57"/>
        <v>20</v>
      </c>
      <c r="AG46" s="25">
        <f t="shared" si="58"/>
        <v>14</v>
      </c>
      <c r="AH46" s="30">
        <f t="shared" si="59"/>
        <v>0.35503649999999998</v>
      </c>
      <c r="AI46" s="25">
        <f t="shared" si="60"/>
        <v>11340000</v>
      </c>
      <c r="AJ46" s="25">
        <f t="shared" si="61"/>
        <v>1701000</v>
      </c>
      <c r="AK46" s="33">
        <f t="shared" si="62"/>
        <v>1811751.2594999999</v>
      </c>
      <c r="AL46" s="33">
        <f t="shared" si="63"/>
        <v>0</v>
      </c>
      <c r="AM46" s="5">
        <f t="shared" si="64"/>
        <v>0.72172130759072017</v>
      </c>
    </row>
    <row r="47" spans="1:39" x14ac:dyDescent="0.45">
      <c r="A47" t="s">
        <v>464</v>
      </c>
      <c r="B47" t="s">
        <v>465</v>
      </c>
      <c r="C47" s="6">
        <f>IF(Top1Idx=1,CHOOSE(1,J_maxShare_lo,(J_maxShare_lo+D_maxShare)/2,D_maxShare,(D_maxShare+J_maxShare_hi)/2,J_maxShare_hi),IF(Top2Idx=1,CHOOSE(5,J_maxShare_lo,(J_maxShare_lo+D_maxShare)/2,D_maxShare,(D_maxShare+J_maxShare_hi)/2,J_maxShare_hi),D_maxShare))</f>
        <v>0.1</v>
      </c>
      <c r="D47" s="6">
        <f>IF(Top1Idx=2,CHOOSE(1,J_adoptSuper_lo,(J_adoptSuper_lo+D_adoptSuper)/2,D_adoptSuper,(D_adoptSuper+J_adoptSuper_hi)/2,J_adoptSuper_hi),IF(Top2Idx=2,CHOOSE(5,J_adoptSuper_lo,(J_adoptSuper_lo+D_adoptSuper)/2,D_adoptSuper,(D_adoptSuper+J_adoptSuper_hi)/2,J_adoptSuper_hi),D_adoptSuper))</f>
        <v>0.15</v>
      </c>
      <c r="E47" s="22">
        <f>IF(Top1Idx=3,CHOOSE(1,J_callsScale_lo,(J_callsScale_lo+D_callsScale)/2,D_callsScale,(D_callsScale+J_callsScale_hi)/2,J_callsScale_hi),IF(Top2Idx=3,CHOOSE(5,J_callsScale_lo,(J_callsScale_lo+D_callsScale)/2,D_callsScale,(D_callsScale+J_callsScale_hi)/2,J_callsScale_hi),D_callsScale))</f>
        <v>1</v>
      </c>
      <c r="F47" s="25">
        <f>IF(Top1Idx=4,CHOOSE(1,J_L_lo,(J_L_lo+D_L)/2,D_L,(D_L+J_L_hi)/2,J_L_hi),IF(Top2Idx=4,CHOOSE(5,J_L_lo,(J_L_lo+D_L)/2,D_L,(D_L+J_L_hi)/2,J_L_hi),D_L))</f>
        <v>4</v>
      </c>
      <c r="G47" s="6">
        <f>IF(Top1Idx=5,CHOOSE(1,J_s_lo,(J_s_lo+D_s)/2,D_s,(D_s+J_s_hi)/2,J_s_hi),IF(Top2Idx=5,CHOOSE(5,J_s_lo,(J_s_lo+D_s)/2,D_s,(D_s+J_s_hi)/2,J_s_hi),D_s))</f>
        <v>0.4</v>
      </c>
      <c r="H47" s="4">
        <f>IF(Top1Idx=6,CHOOSE(1,J_r_lo,(J_r_lo+D_r)/2,D_r,(D_r+J_r_hi)/2,J_r_hi),IF(Top2Idx=6,CHOOSE(5,J_r_lo,(J_r_lo+D_r)/2,D_r,(D_r+J_r_hi)/2,J_r_hi),D_r))</f>
        <v>3</v>
      </c>
      <c r="I47" s="6">
        <f>IF(Top1Idx=7,CHOOSE(1,J_c_lo,(J_c_lo+D_c)/2,D_c,(D_c+J_c_hi)/2,J_c_hi),IF(Top2Idx=7,CHOOSE(5,J_c_lo,(J_c_lo+D_c)/2,D_c,(D_c+J_c_hi)/2,J_c_hi),D_c))</f>
        <v>0.95</v>
      </c>
      <c r="J47" s="4">
        <f>IF(Top1Idx=8,CHOOSE(1,J_sysTok_lo,(J_sysTok_lo+D_sysTok)/2,D_sysTok,(D_sysTok+J_sysTok_hi)/2,J_sysTok_hi),IF(Top2Idx=8,CHOOSE(5,J_sysTok_lo,(J_sysTok_lo+D_sysTok)/2,D_sysTok,(D_sysTok+J_sysTok_hi)/2,J_sysTok_hi),D_sysTok))</f>
        <v>1500</v>
      </c>
      <c r="K47" s="6">
        <f>IF(Top1Idx=9,CHOOSE(1,J_realization_lo,(J_realization_lo+D_realization)/2,D_realization,(D_realization+J_realization_hi)/2,J_realization_hi),IF(Top2Idx=9,CHOOSE(5,J_realization_lo,(J_realization_lo+D_realization)/2,D_realization,(D_realization+J_realization_hi)/2,J_realization_hi),D_realization))</f>
        <v>1</v>
      </c>
      <c r="L47" s="4">
        <f t="shared" si="32"/>
        <v>5</v>
      </c>
      <c r="M47" s="4">
        <f t="shared" si="33"/>
        <v>20</v>
      </c>
      <c r="N47" s="6">
        <f>0</f>
        <v>0</v>
      </c>
      <c r="O47" s="25">
        <f t="shared" si="40"/>
        <v>12</v>
      </c>
      <c r="P47" s="25">
        <f t="shared" si="41"/>
        <v>960</v>
      </c>
      <c r="Q47" s="25">
        <f t="shared" si="42"/>
        <v>2880</v>
      </c>
      <c r="R47" s="25">
        <f t="shared" si="43"/>
        <v>21120</v>
      </c>
      <c r="S47" s="25">
        <f t="shared" si="44"/>
        <v>18000</v>
      </c>
      <c r="T47" s="30">
        <f t="shared" si="45"/>
        <v>10</v>
      </c>
      <c r="U47" s="30">
        <f t="shared" si="46"/>
        <v>0.3</v>
      </c>
      <c r="V47" s="30">
        <f t="shared" si="47"/>
        <v>20</v>
      </c>
      <c r="W47" s="30">
        <f t="shared" si="48"/>
        <v>0.6</v>
      </c>
      <c r="X47" s="30">
        <f t="shared" si="49"/>
        <v>0.06</v>
      </c>
      <c r="Y47" s="7">
        <f t="shared" si="50"/>
        <v>8.534520000000001E-2</v>
      </c>
      <c r="Z47" s="7">
        <f t="shared" si="51"/>
        <v>2.1336300000000002E-2</v>
      </c>
      <c r="AA47" s="25">
        <f t="shared" si="52"/>
        <v>8</v>
      </c>
      <c r="AB47" s="25">
        <f t="shared" si="53"/>
        <v>24</v>
      </c>
      <c r="AC47" s="25">
        <f t="shared" si="54"/>
        <v>80</v>
      </c>
      <c r="AD47" s="25">
        <f t="shared" si="55"/>
        <v>8</v>
      </c>
      <c r="AE47" s="25">
        <f t="shared" si="56"/>
        <v>20</v>
      </c>
      <c r="AF47" s="25">
        <f t="shared" si="57"/>
        <v>20</v>
      </c>
      <c r="AG47" s="25">
        <f t="shared" si="58"/>
        <v>14</v>
      </c>
      <c r="AH47" s="30">
        <f t="shared" si="59"/>
        <v>0.29870820000000003</v>
      </c>
      <c r="AI47" s="25">
        <f t="shared" si="60"/>
        <v>11340000</v>
      </c>
      <c r="AJ47" s="25">
        <f t="shared" si="61"/>
        <v>1701000</v>
      </c>
      <c r="AK47" s="33">
        <f t="shared" si="62"/>
        <v>1524307.9446</v>
      </c>
      <c r="AL47" s="33">
        <f t="shared" si="63"/>
        <v>0</v>
      </c>
      <c r="AM47" s="5">
        <f t="shared" si="64"/>
        <v>0.72268441518820581</v>
      </c>
    </row>
    <row r="48" spans="1:39" x14ac:dyDescent="0.45">
      <c r="A48" t="s">
        <v>466</v>
      </c>
      <c r="B48" t="s">
        <v>467</v>
      </c>
      <c r="C48" s="6">
        <f>IF(Top1Idx=1,CHOOSE(2,J_maxShare_lo,(J_maxShare_lo+D_maxShare)/2,D_maxShare,(D_maxShare+J_maxShare_hi)/2,J_maxShare_hi),IF(Top2Idx=1,CHOOSE(1,J_maxShare_lo,(J_maxShare_lo+D_maxShare)/2,D_maxShare,(D_maxShare+J_maxShare_hi)/2,J_maxShare_hi),D_maxShare))</f>
        <v>0.1</v>
      </c>
      <c r="D48" s="6">
        <f>IF(Top1Idx=2,CHOOSE(2,J_adoptSuper_lo,(J_adoptSuper_lo+D_adoptSuper)/2,D_adoptSuper,(D_adoptSuper+J_adoptSuper_hi)/2,J_adoptSuper_hi),IF(Top2Idx=2,CHOOSE(1,J_adoptSuper_lo,(J_adoptSuper_lo+D_adoptSuper)/2,D_adoptSuper,(D_adoptSuper+J_adoptSuper_hi)/2,J_adoptSuper_hi),D_adoptSuper))</f>
        <v>0.22499999999999998</v>
      </c>
      <c r="E48" s="22">
        <f>IF(Top1Idx=3,CHOOSE(2,J_callsScale_lo,(J_callsScale_lo+D_callsScale)/2,D_callsScale,(D_callsScale+J_callsScale_hi)/2,J_callsScale_hi),IF(Top2Idx=3,CHOOSE(1,J_callsScale_lo,(J_callsScale_lo+D_callsScale)/2,D_callsScale,(D_callsScale+J_callsScale_hi)/2,J_callsScale_hi),D_callsScale))</f>
        <v>1</v>
      </c>
      <c r="F48" s="25">
        <f>IF(Top1Idx=4,CHOOSE(2,J_L_lo,(J_L_lo+D_L)/2,D_L,(D_L+J_L_hi)/2,J_L_hi),IF(Top2Idx=4,CHOOSE(1,J_L_lo,(J_L_lo+D_L)/2,D_L,(D_L+J_L_hi)/2,J_L_hi),D_L))</f>
        <v>4</v>
      </c>
      <c r="G48" s="6">
        <f>IF(Top1Idx=5,CHOOSE(2,J_s_lo,(J_s_lo+D_s)/2,D_s,(D_s+J_s_hi)/2,J_s_hi),IF(Top2Idx=5,CHOOSE(1,J_s_lo,(J_s_lo+D_s)/2,D_s,(D_s+J_s_hi)/2,J_s_hi),D_s))</f>
        <v>0.4</v>
      </c>
      <c r="H48" s="4">
        <f>IF(Top1Idx=6,CHOOSE(2,J_r_lo,(J_r_lo+D_r)/2,D_r,(D_r+J_r_hi)/2,J_r_hi),IF(Top2Idx=6,CHOOSE(1,J_r_lo,(J_r_lo+D_r)/2,D_r,(D_r+J_r_hi)/2,J_r_hi),D_r))</f>
        <v>3</v>
      </c>
      <c r="I48" s="6">
        <f>IF(Top1Idx=7,CHOOSE(2,J_c_lo,(J_c_lo+D_c)/2,D_c,(D_c+J_c_hi)/2,J_c_hi),IF(Top2Idx=7,CHOOSE(1,J_c_lo,(J_c_lo+D_c)/2,D_c,(D_c+J_c_hi)/2,J_c_hi),D_c))</f>
        <v>0.5</v>
      </c>
      <c r="J48" s="4">
        <f>IF(Top1Idx=8,CHOOSE(2,J_sysTok_lo,(J_sysTok_lo+D_sysTok)/2,D_sysTok,(D_sysTok+J_sysTok_hi)/2,J_sysTok_hi),IF(Top2Idx=8,CHOOSE(1,J_sysTok_lo,(J_sysTok_lo+D_sysTok)/2,D_sysTok,(D_sysTok+J_sysTok_hi)/2,J_sysTok_hi),D_sysTok))</f>
        <v>1500</v>
      </c>
      <c r="K48" s="6">
        <f>IF(Top1Idx=9,CHOOSE(2,J_realization_lo,(J_realization_lo+D_realization)/2,D_realization,(D_realization+J_realization_hi)/2,J_realization_hi),IF(Top2Idx=9,CHOOSE(1,J_realization_lo,(J_realization_lo+D_realization)/2,D_realization,(D_realization+J_realization_hi)/2,J_realization_hi),D_realization))</f>
        <v>1</v>
      </c>
      <c r="L48" s="4">
        <f t="shared" si="32"/>
        <v>5</v>
      </c>
      <c r="M48" s="4">
        <f t="shared" si="33"/>
        <v>20</v>
      </c>
      <c r="N48" s="6">
        <f>0</f>
        <v>0</v>
      </c>
      <c r="O48" s="25">
        <f t="shared" si="40"/>
        <v>12</v>
      </c>
      <c r="P48" s="25">
        <f t="shared" si="41"/>
        <v>960</v>
      </c>
      <c r="Q48" s="25">
        <f t="shared" si="42"/>
        <v>2880</v>
      </c>
      <c r="R48" s="25">
        <f t="shared" si="43"/>
        <v>21120</v>
      </c>
      <c r="S48" s="25">
        <f t="shared" si="44"/>
        <v>18000</v>
      </c>
      <c r="T48" s="30">
        <f t="shared" si="45"/>
        <v>10</v>
      </c>
      <c r="U48" s="30">
        <f t="shared" si="46"/>
        <v>0.3</v>
      </c>
      <c r="V48" s="30">
        <f t="shared" si="47"/>
        <v>20</v>
      </c>
      <c r="W48" s="30">
        <f t="shared" si="48"/>
        <v>0.6</v>
      </c>
      <c r="X48" s="30">
        <f t="shared" si="49"/>
        <v>0.06</v>
      </c>
      <c r="Y48" s="7">
        <f t="shared" si="50"/>
        <v>0.18190799999999999</v>
      </c>
      <c r="Z48" s="7">
        <f t="shared" si="51"/>
        <v>4.5476999999999997E-2</v>
      </c>
      <c r="AA48" s="25">
        <f t="shared" si="52"/>
        <v>8</v>
      </c>
      <c r="AB48" s="25">
        <f t="shared" si="53"/>
        <v>24</v>
      </c>
      <c r="AC48" s="25">
        <f t="shared" si="54"/>
        <v>80</v>
      </c>
      <c r="AD48" s="25">
        <f t="shared" si="55"/>
        <v>8</v>
      </c>
      <c r="AE48" s="25">
        <f t="shared" si="56"/>
        <v>20</v>
      </c>
      <c r="AF48" s="25">
        <f t="shared" si="57"/>
        <v>20</v>
      </c>
      <c r="AG48" s="25">
        <f t="shared" si="58"/>
        <v>14</v>
      </c>
      <c r="AH48" s="30">
        <f t="shared" si="59"/>
        <v>0.63667799999999997</v>
      </c>
      <c r="AI48" s="25">
        <f t="shared" si="60"/>
        <v>11340000</v>
      </c>
      <c r="AJ48" s="25">
        <f t="shared" si="61"/>
        <v>2551499.9999999995</v>
      </c>
      <c r="AK48" s="33">
        <f t="shared" si="62"/>
        <v>4873451.7509999992</v>
      </c>
      <c r="AL48" s="33">
        <f t="shared" si="63"/>
        <v>0</v>
      </c>
      <c r="AM48" s="5">
        <f t="shared" si="64"/>
        <v>0.71146277364076471</v>
      </c>
    </row>
    <row r="49" spans="1:39" x14ac:dyDescent="0.45">
      <c r="A49" t="s">
        <v>468</v>
      </c>
      <c r="B49" t="s">
        <v>469</v>
      </c>
      <c r="C49" s="6">
        <f>IF(Top1Idx=1,CHOOSE(2,J_maxShare_lo,(J_maxShare_lo+D_maxShare)/2,D_maxShare,(D_maxShare+J_maxShare_hi)/2,J_maxShare_hi),IF(Top2Idx=1,CHOOSE(2,J_maxShare_lo,(J_maxShare_lo+D_maxShare)/2,D_maxShare,(D_maxShare+J_maxShare_hi)/2,J_maxShare_hi),D_maxShare))</f>
        <v>0.1</v>
      </c>
      <c r="D49" s="6">
        <f>IF(Top1Idx=2,CHOOSE(2,J_adoptSuper_lo,(J_adoptSuper_lo+D_adoptSuper)/2,D_adoptSuper,(D_adoptSuper+J_adoptSuper_hi)/2,J_adoptSuper_hi),IF(Top2Idx=2,CHOOSE(2,J_adoptSuper_lo,(J_adoptSuper_lo+D_adoptSuper)/2,D_adoptSuper,(D_adoptSuper+J_adoptSuper_hi)/2,J_adoptSuper_hi),D_adoptSuper))</f>
        <v>0.22499999999999998</v>
      </c>
      <c r="E49" s="22">
        <f>IF(Top1Idx=3,CHOOSE(2,J_callsScale_lo,(J_callsScale_lo+D_callsScale)/2,D_callsScale,(D_callsScale+J_callsScale_hi)/2,J_callsScale_hi),IF(Top2Idx=3,CHOOSE(2,J_callsScale_lo,(J_callsScale_lo+D_callsScale)/2,D_callsScale,(D_callsScale+J_callsScale_hi)/2,J_callsScale_hi),D_callsScale))</f>
        <v>1</v>
      </c>
      <c r="F49" s="25">
        <f>IF(Top1Idx=4,CHOOSE(2,J_L_lo,(J_L_lo+D_L)/2,D_L,(D_L+J_L_hi)/2,J_L_hi),IF(Top2Idx=4,CHOOSE(2,J_L_lo,(J_L_lo+D_L)/2,D_L,(D_L+J_L_hi)/2,J_L_hi),D_L))</f>
        <v>4</v>
      </c>
      <c r="G49" s="6">
        <f>IF(Top1Idx=5,CHOOSE(2,J_s_lo,(J_s_lo+D_s)/2,D_s,(D_s+J_s_hi)/2,J_s_hi),IF(Top2Idx=5,CHOOSE(2,J_s_lo,(J_s_lo+D_s)/2,D_s,(D_s+J_s_hi)/2,J_s_hi),D_s))</f>
        <v>0.4</v>
      </c>
      <c r="H49" s="4">
        <f>IF(Top1Idx=6,CHOOSE(2,J_r_lo,(J_r_lo+D_r)/2,D_r,(D_r+J_r_hi)/2,J_r_hi),IF(Top2Idx=6,CHOOSE(2,J_r_lo,(J_r_lo+D_r)/2,D_r,(D_r+J_r_hi)/2,J_r_hi),D_r))</f>
        <v>3</v>
      </c>
      <c r="I49" s="6">
        <f>IF(Top1Idx=7,CHOOSE(2,J_c_lo,(J_c_lo+D_c)/2,D_c,(D_c+J_c_hi)/2,J_c_hi),IF(Top2Idx=7,CHOOSE(2,J_c_lo,(J_c_lo+D_c)/2,D_c,(D_c+J_c_hi)/2,J_c_hi),D_c))</f>
        <v>0.65</v>
      </c>
      <c r="J49" s="4">
        <f>IF(Top1Idx=8,CHOOSE(2,J_sysTok_lo,(J_sysTok_lo+D_sysTok)/2,D_sysTok,(D_sysTok+J_sysTok_hi)/2,J_sysTok_hi),IF(Top2Idx=8,CHOOSE(2,J_sysTok_lo,(J_sysTok_lo+D_sysTok)/2,D_sysTok,(D_sysTok+J_sysTok_hi)/2,J_sysTok_hi),D_sysTok))</f>
        <v>1500</v>
      </c>
      <c r="K49" s="6">
        <f>IF(Top1Idx=9,CHOOSE(2,J_realization_lo,(J_realization_lo+D_realization)/2,D_realization,(D_realization+J_realization_hi)/2,J_realization_hi),IF(Top2Idx=9,CHOOSE(2,J_realization_lo,(J_realization_lo+D_realization)/2,D_realization,(D_realization+J_realization_hi)/2,J_realization_hi),D_realization))</f>
        <v>1</v>
      </c>
      <c r="L49" s="4">
        <f t="shared" si="32"/>
        <v>5</v>
      </c>
      <c r="M49" s="4">
        <f t="shared" si="33"/>
        <v>20</v>
      </c>
      <c r="N49" s="6">
        <f>0</f>
        <v>0</v>
      </c>
      <c r="O49" s="25">
        <f t="shared" si="40"/>
        <v>12</v>
      </c>
      <c r="P49" s="25">
        <f t="shared" si="41"/>
        <v>960</v>
      </c>
      <c r="Q49" s="25">
        <f t="shared" si="42"/>
        <v>2880</v>
      </c>
      <c r="R49" s="25">
        <f t="shared" si="43"/>
        <v>21120</v>
      </c>
      <c r="S49" s="25">
        <f t="shared" si="44"/>
        <v>18000</v>
      </c>
      <c r="T49" s="30">
        <f t="shared" si="45"/>
        <v>10</v>
      </c>
      <c r="U49" s="30">
        <f t="shared" si="46"/>
        <v>0.3</v>
      </c>
      <c r="V49" s="30">
        <f t="shared" si="47"/>
        <v>20</v>
      </c>
      <c r="W49" s="30">
        <f t="shared" si="48"/>
        <v>0.6</v>
      </c>
      <c r="X49" s="30">
        <f t="shared" si="49"/>
        <v>0.06</v>
      </c>
      <c r="Y49" s="7">
        <f t="shared" si="50"/>
        <v>0.1497204</v>
      </c>
      <c r="Z49" s="7">
        <f t="shared" si="51"/>
        <v>3.7430100000000001E-2</v>
      </c>
      <c r="AA49" s="25">
        <f t="shared" si="52"/>
        <v>8</v>
      </c>
      <c r="AB49" s="25">
        <f t="shared" si="53"/>
        <v>24</v>
      </c>
      <c r="AC49" s="25">
        <f t="shared" si="54"/>
        <v>80</v>
      </c>
      <c r="AD49" s="25">
        <f t="shared" si="55"/>
        <v>8</v>
      </c>
      <c r="AE49" s="25">
        <f t="shared" si="56"/>
        <v>20</v>
      </c>
      <c r="AF49" s="25">
        <f t="shared" si="57"/>
        <v>20</v>
      </c>
      <c r="AG49" s="25">
        <f t="shared" si="58"/>
        <v>14</v>
      </c>
      <c r="AH49" s="30">
        <f t="shared" si="59"/>
        <v>0.52402139999999997</v>
      </c>
      <c r="AI49" s="25">
        <f t="shared" si="60"/>
        <v>11340000</v>
      </c>
      <c r="AJ49" s="25">
        <f t="shared" si="61"/>
        <v>2551499.9999999995</v>
      </c>
      <c r="AK49" s="33">
        <f t="shared" si="62"/>
        <v>4011121.8062999994</v>
      </c>
      <c r="AL49" s="33">
        <f t="shared" si="63"/>
        <v>0</v>
      </c>
      <c r="AM49" s="5">
        <f t="shared" si="64"/>
        <v>0.71435209643322184</v>
      </c>
    </row>
    <row r="50" spans="1:39" x14ac:dyDescent="0.45">
      <c r="A50" t="s">
        <v>470</v>
      </c>
      <c r="B50" t="s">
        <v>471</v>
      </c>
      <c r="C50" s="6">
        <f>IF(Top1Idx=1,CHOOSE(2,J_maxShare_lo,(J_maxShare_lo+D_maxShare)/2,D_maxShare,(D_maxShare+J_maxShare_hi)/2,J_maxShare_hi),IF(Top2Idx=1,CHOOSE(3,J_maxShare_lo,(J_maxShare_lo+D_maxShare)/2,D_maxShare,(D_maxShare+J_maxShare_hi)/2,J_maxShare_hi),D_maxShare))</f>
        <v>0.1</v>
      </c>
      <c r="D50" s="6">
        <f>IF(Top1Idx=2,CHOOSE(2,J_adoptSuper_lo,(J_adoptSuper_lo+D_adoptSuper)/2,D_adoptSuper,(D_adoptSuper+J_adoptSuper_hi)/2,J_adoptSuper_hi),IF(Top2Idx=2,CHOOSE(3,J_adoptSuper_lo,(J_adoptSuper_lo+D_adoptSuper)/2,D_adoptSuper,(D_adoptSuper+J_adoptSuper_hi)/2,J_adoptSuper_hi),D_adoptSuper))</f>
        <v>0.22499999999999998</v>
      </c>
      <c r="E50" s="22">
        <f>IF(Top1Idx=3,CHOOSE(2,J_callsScale_lo,(J_callsScale_lo+D_callsScale)/2,D_callsScale,(D_callsScale+J_callsScale_hi)/2,J_callsScale_hi),IF(Top2Idx=3,CHOOSE(3,J_callsScale_lo,(J_callsScale_lo+D_callsScale)/2,D_callsScale,(D_callsScale+J_callsScale_hi)/2,J_callsScale_hi),D_callsScale))</f>
        <v>1</v>
      </c>
      <c r="F50" s="25">
        <f>IF(Top1Idx=4,CHOOSE(2,J_L_lo,(J_L_lo+D_L)/2,D_L,(D_L+J_L_hi)/2,J_L_hi),IF(Top2Idx=4,CHOOSE(3,J_L_lo,(J_L_lo+D_L)/2,D_L,(D_L+J_L_hi)/2,J_L_hi),D_L))</f>
        <v>4</v>
      </c>
      <c r="G50" s="6">
        <f>IF(Top1Idx=5,CHOOSE(2,J_s_lo,(J_s_lo+D_s)/2,D_s,(D_s+J_s_hi)/2,J_s_hi),IF(Top2Idx=5,CHOOSE(3,J_s_lo,(J_s_lo+D_s)/2,D_s,(D_s+J_s_hi)/2,J_s_hi),D_s))</f>
        <v>0.4</v>
      </c>
      <c r="H50" s="4">
        <f>IF(Top1Idx=6,CHOOSE(2,J_r_lo,(J_r_lo+D_r)/2,D_r,(D_r+J_r_hi)/2,J_r_hi),IF(Top2Idx=6,CHOOSE(3,J_r_lo,(J_r_lo+D_r)/2,D_r,(D_r+J_r_hi)/2,J_r_hi),D_r))</f>
        <v>3</v>
      </c>
      <c r="I50" s="6">
        <f>IF(Top1Idx=7,CHOOSE(2,J_c_lo,(J_c_lo+D_c)/2,D_c,(D_c+J_c_hi)/2,J_c_hi),IF(Top2Idx=7,CHOOSE(3,J_c_lo,(J_c_lo+D_c)/2,D_c,(D_c+J_c_hi)/2,J_c_hi),D_c))</f>
        <v>0.8</v>
      </c>
      <c r="J50" s="4">
        <f>IF(Top1Idx=8,CHOOSE(2,J_sysTok_lo,(J_sysTok_lo+D_sysTok)/2,D_sysTok,(D_sysTok+J_sysTok_hi)/2,J_sysTok_hi),IF(Top2Idx=8,CHOOSE(3,J_sysTok_lo,(J_sysTok_lo+D_sysTok)/2,D_sysTok,(D_sysTok+J_sysTok_hi)/2,J_sysTok_hi),D_sysTok))</f>
        <v>1500</v>
      </c>
      <c r="K50" s="6">
        <f>IF(Top1Idx=9,CHOOSE(2,J_realization_lo,(J_realization_lo+D_realization)/2,D_realization,(D_realization+J_realization_hi)/2,J_realization_hi),IF(Top2Idx=9,CHOOSE(3,J_realization_lo,(J_realization_lo+D_realization)/2,D_realization,(D_realization+J_realization_hi)/2,J_realization_hi),D_realization))</f>
        <v>1</v>
      </c>
      <c r="L50" s="4">
        <f t="shared" si="32"/>
        <v>5</v>
      </c>
      <c r="M50" s="4">
        <f t="shared" si="33"/>
        <v>20</v>
      </c>
      <c r="N50" s="6">
        <f>0</f>
        <v>0</v>
      </c>
      <c r="O50" s="25">
        <f t="shared" si="40"/>
        <v>12</v>
      </c>
      <c r="P50" s="25">
        <f t="shared" si="41"/>
        <v>960</v>
      </c>
      <c r="Q50" s="25">
        <f t="shared" si="42"/>
        <v>2880</v>
      </c>
      <c r="R50" s="25">
        <f t="shared" si="43"/>
        <v>21120</v>
      </c>
      <c r="S50" s="25">
        <f t="shared" si="44"/>
        <v>18000</v>
      </c>
      <c r="T50" s="30">
        <f t="shared" si="45"/>
        <v>10</v>
      </c>
      <c r="U50" s="30">
        <f t="shared" si="46"/>
        <v>0.3</v>
      </c>
      <c r="V50" s="30">
        <f t="shared" si="47"/>
        <v>20</v>
      </c>
      <c r="W50" s="30">
        <f t="shared" si="48"/>
        <v>0.6</v>
      </c>
      <c r="X50" s="30">
        <f t="shared" si="49"/>
        <v>0.06</v>
      </c>
      <c r="Y50" s="7">
        <f t="shared" si="50"/>
        <v>0.11753279999999999</v>
      </c>
      <c r="Z50" s="7">
        <f t="shared" si="51"/>
        <v>2.9383199999999998E-2</v>
      </c>
      <c r="AA50" s="25">
        <f t="shared" si="52"/>
        <v>8</v>
      </c>
      <c r="AB50" s="25">
        <f t="shared" si="53"/>
        <v>24</v>
      </c>
      <c r="AC50" s="25">
        <f t="shared" si="54"/>
        <v>80</v>
      </c>
      <c r="AD50" s="25">
        <f t="shared" si="55"/>
        <v>8</v>
      </c>
      <c r="AE50" s="25">
        <f t="shared" si="56"/>
        <v>20</v>
      </c>
      <c r="AF50" s="25">
        <f t="shared" si="57"/>
        <v>20</v>
      </c>
      <c r="AG50" s="25">
        <f t="shared" si="58"/>
        <v>14</v>
      </c>
      <c r="AH50" s="30">
        <f t="shared" si="59"/>
        <v>0.41136479999999997</v>
      </c>
      <c r="AI50" s="25">
        <f t="shared" si="60"/>
        <v>11340000</v>
      </c>
      <c r="AJ50" s="25">
        <f t="shared" si="61"/>
        <v>2551499.9999999995</v>
      </c>
      <c r="AK50" s="33">
        <f t="shared" si="62"/>
        <v>3148791.861599999</v>
      </c>
      <c r="AL50" s="33">
        <f t="shared" si="63"/>
        <v>0</v>
      </c>
      <c r="AM50" s="5">
        <f t="shared" si="64"/>
        <v>0.71724141922567897</v>
      </c>
    </row>
    <row r="51" spans="1:39" x14ac:dyDescent="0.45">
      <c r="A51" t="s">
        <v>472</v>
      </c>
      <c r="B51" t="s">
        <v>473</v>
      </c>
      <c r="C51" s="6">
        <f>IF(Top1Idx=1,CHOOSE(2,J_maxShare_lo,(J_maxShare_lo+D_maxShare)/2,D_maxShare,(D_maxShare+J_maxShare_hi)/2,J_maxShare_hi),IF(Top2Idx=1,CHOOSE(4,J_maxShare_lo,(J_maxShare_lo+D_maxShare)/2,D_maxShare,(D_maxShare+J_maxShare_hi)/2,J_maxShare_hi),D_maxShare))</f>
        <v>0.1</v>
      </c>
      <c r="D51" s="6">
        <f>IF(Top1Idx=2,CHOOSE(2,J_adoptSuper_lo,(J_adoptSuper_lo+D_adoptSuper)/2,D_adoptSuper,(D_adoptSuper+J_adoptSuper_hi)/2,J_adoptSuper_hi),IF(Top2Idx=2,CHOOSE(4,J_adoptSuper_lo,(J_adoptSuper_lo+D_adoptSuper)/2,D_adoptSuper,(D_adoptSuper+J_adoptSuper_hi)/2,J_adoptSuper_hi),D_adoptSuper))</f>
        <v>0.22499999999999998</v>
      </c>
      <c r="E51" s="22">
        <f>IF(Top1Idx=3,CHOOSE(2,J_callsScale_lo,(J_callsScale_lo+D_callsScale)/2,D_callsScale,(D_callsScale+J_callsScale_hi)/2,J_callsScale_hi),IF(Top2Idx=3,CHOOSE(4,J_callsScale_lo,(J_callsScale_lo+D_callsScale)/2,D_callsScale,(D_callsScale+J_callsScale_hi)/2,J_callsScale_hi),D_callsScale))</f>
        <v>1</v>
      </c>
      <c r="F51" s="25">
        <f>IF(Top1Idx=4,CHOOSE(2,J_L_lo,(J_L_lo+D_L)/2,D_L,(D_L+J_L_hi)/2,J_L_hi),IF(Top2Idx=4,CHOOSE(4,J_L_lo,(J_L_lo+D_L)/2,D_L,(D_L+J_L_hi)/2,J_L_hi),D_L))</f>
        <v>4</v>
      </c>
      <c r="G51" s="6">
        <f>IF(Top1Idx=5,CHOOSE(2,J_s_lo,(J_s_lo+D_s)/2,D_s,(D_s+J_s_hi)/2,J_s_hi),IF(Top2Idx=5,CHOOSE(4,J_s_lo,(J_s_lo+D_s)/2,D_s,(D_s+J_s_hi)/2,J_s_hi),D_s))</f>
        <v>0.4</v>
      </c>
      <c r="H51" s="4">
        <f>IF(Top1Idx=6,CHOOSE(2,J_r_lo,(J_r_lo+D_r)/2,D_r,(D_r+J_r_hi)/2,J_r_hi),IF(Top2Idx=6,CHOOSE(4,J_r_lo,(J_r_lo+D_r)/2,D_r,(D_r+J_r_hi)/2,J_r_hi),D_r))</f>
        <v>3</v>
      </c>
      <c r="I51" s="6">
        <f>IF(Top1Idx=7,CHOOSE(2,J_c_lo,(J_c_lo+D_c)/2,D_c,(D_c+J_c_hi)/2,J_c_hi),IF(Top2Idx=7,CHOOSE(4,J_c_lo,(J_c_lo+D_c)/2,D_c,(D_c+J_c_hi)/2,J_c_hi),D_c))</f>
        <v>0.875</v>
      </c>
      <c r="J51" s="4">
        <f>IF(Top1Idx=8,CHOOSE(2,J_sysTok_lo,(J_sysTok_lo+D_sysTok)/2,D_sysTok,(D_sysTok+J_sysTok_hi)/2,J_sysTok_hi),IF(Top2Idx=8,CHOOSE(4,J_sysTok_lo,(J_sysTok_lo+D_sysTok)/2,D_sysTok,(D_sysTok+J_sysTok_hi)/2,J_sysTok_hi),D_sysTok))</f>
        <v>1500</v>
      </c>
      <c r="K51" s="6">
        <f>IF(Top1Idx=9,CHOOSE(2,J_realization_lo,(J_realization_lo+D_realization)/2,D_realization,(D_realization+J_realization_hi)/2,J_realization_hi),IF(Top2Idx=9,CHOOSE(4,J_realization_lo,(J_realization_lo+D_realization)/2,D_realization,(D_realization+J_realization_hi)/2,J_realization_hi),D_realization))</f>
        <v>1</v>
      </c>
      <c r="L51" s="4">
        <f t="shared" si="32"/>
        <v>5</v>
      </c>
      <c r="M51" s="4">
        <f t="shared" si="33"/>
        <v>20</v>
      </c>
      <c r="N51" s="6">
        <f>0</f>
        <v>0</v>
      </c>
      <c r="O51" s="25">
        <f t="shared" si="40"/>
        <v>12</v>
      </c>
      <c r="P51" s="25">
        <f t="shared" si="41"/>
        <v>960</v>
      </c>
      <c r="Q51" s="25">
        <f t="shared" si="42"/>
        <v>2880</v>
      </c>
      <c r="R51" s="25">
        <f t="shared" si="43"/>
        <v>21120</v>
      </c>
      <c r="S51" s="25">
        <f t="shared" si="44"/>
        <v>18000</v>
      </c>
      <c r="T51" s="30">
        <f t="shared" si="45"/>
        <v>10</v>
      </c>
      <c r="U51" s="30">
        <f t="shared" si="46"/>
        <v>0.3</v>
      </c>
      <c r="V51" s="30">
        <f t="shared" si="47"/>
        <v>20</v>
      </c>
      <c r="W51" s="30">
        <f t="shared" si="48"/>
        <v>0.6</v>
      </c>
      <c r="X51" s="30">
        <f t="shared" si="49"/>
        <v>0.06</v>
      </c>
      <c r="Y51" s="7">
        <f t="shared" si="50"/>
        <v>0.101439</v>
      </c>
      <c r="Z51" s="7">
        <f t="shared" si="51"/>
        <v>2.535975E-2</v>
      </c>
      <c r="AA51" s="25">
        <f t="shared" si="52"/>
        <v>8</v>
      </c>
      <c r="AB51" s="25">
        <f t="shared" si="53"/>
        <v>24</v>
      </c>
      <c r="AC51" s="25">
        <f t="shared" si="54"/>
        <v>80</v>
      </c>
      <c r="AD51" s="25">
        <f t="shared" si="55"/>
        <v>8</v>
      </c>
      <c r="AE51" s="25">
        <f t="shared" si="56"/>
        <v>20</v>
      </c>
      <c r="AF51" s="25">
        <f t="shared" si="57"/>
        <v>20</v>
      </c>
      <c r="AG51" s="25">
        <f t="shared" si="58"/>
        <v>14</v>
      </c>
      <c r="AH51" s="30">
        <f t="shared" si="59"/>
        <v>0.35503649999999998</v>
      </c>
      <c r="AI51" s="25">
        <f t="shared" si="60"/>
        <v>11340000</v>
      </c>
      <c r="AJ51" s="25">
        <f t="shared" si="61"/>
        <v>2551499.9999999995</v>
      </c>
      <c r="AK51" s="33">
        <f t="shared" si="62"/>
        <v>2717626.8892499991</v>
      </c>
      <c r="AL51" s="33">
        <f t="shared" si="63"/>
        <v>0</v>
      </c>
      <c r="AM51" s="5">
        <f t="shared" si="64"/>
        <v>0.71868608062190753</v>
      </c>
    </row>
    <row r="52" spans="1:39" x14ac:dyDescent="0.45">
      <c r="A52" t="s">
        <v>474</v>
      </c>
      <c r="B52" t="s">
        <v>475</v>
      </c>
      <c r="C52" s="6">
        <f>IF(Top1Idx=1,CHOOSE(2,J_maxShare_lo,(J_maxShare_lo+D_maxShare)/2,D_maxShare,(D_maxShare+J_maxShare_hi)/2,J_maxShare_hi),IF(Top2Idx=1,CHOOSE(5,J_maxShare_lo,(J_maxShare_lo+D_maxShare)/2,D_maxShare,(D_maxShare+J_maxShare_hi)/2,J_maxShare_hi),D_maxShare))</f>
        <v>0.1</v>
      </c>
      <c r="D52" s="6">
        <f>IF(Top1Idx=2,CHOOSE(2,J_adoptSuper_lo,(J_adoptSuper_lo+D_adoptSuper)/2,D_adoptSuper,(D_adoptSuper+J_adoptSuper_hi)/2,J_adoptSuper_hi),IF(Top2Idx=2,CHOOSE(5,J_adoptSuper_lo,(J_adoptSuper_lo+D_adoptSuper)/2,D_adoptSuper,(D_adoptSuper+J_adoptSuper_hi)/2,J_adoptSuper_hi),D_adoptSuper))</f>
        <v>0.22499999999999998</v>
      </c>
      <c r="E52" s="22">
        <f>IF(Top1Idx=3,CHOOSE(2,J_callsScale_lo,(J_callsScale_lo+D_callsScale)/2,D_callsScale,(D_callsScale+J_callsScale_hi)/2,J_callsScale_hi),IF(Top2Idx=3,CHOOSE(5,J_callsScale_lo,(J_callsScale_lo+D_callsScale)/2,D_callsScale,(D_callsScale+J_callsScale_hi)/2,J_callsScale_hi),D_callsScale))</f>
        <v>1</v>
      </c>
      <c r="F52" s="25">
        <f>IF(Top1Idx=4,CHOOSE(2,J_L_lo,(J_L_lo+D_L)/2,D_L,(D_L+J_L_hi)/2,J_L_hi),IF(Top2Idx=4,CHOOSE(5,J_L_lo,(J_L_lo+D_L)/2,D_L,(D_L+J_L_hi)/2,J_L_hi),D_L))</f>
        <v>4</v>
      </c>
      <c r="G52" s="6">
        <f>IF(Top1Idx=5,CHOOSE(2,J_s_lo,(J_s_lo+D_s)/2,D_s,(D_s+J_s_hi)/2,J_s_hi),IF(Top2Idx=5,CHOOSE(5,J_s_lo,(J_s_lo+D_s)/2,D_s,(D_s+J_s_hi)/2,J_s_hi),D_s))</f>
        <v>0.4</v>
      </c>
      <c r="H52" s="4">
        <f>IF(Top1Idx=6,CHOOSE(2,J_r_lo,(J_r_lo+D_r)/2,D_r,(D_r+J_r_hi)/2,J_r_hi),IF(Top2Idx=6,CHOOSE(5,J_r_lo,(J_r_lo+D_r)/2,D_r,(D_r+J_r_hi)/2,J_r_hi),D_r))</f>
        <v>3</v>
      </c>
      <c r="I52" s="6">
        <f>IF(Top1Idx=7,CHOOSE(2,J_c_lo,(J_c_lo+D_c)/2,D_c,(D_c+J_c_hi)/2,J_c_hi),IF(Top2Idx=7,CHOOSE(5,J_c_lo,(J_c_lo+D_c)/2,D_c,(D_c+J_c_hi)/2,J_c_hi),D_c))</f>
        <v>0.95</v>
      </c>
      <c r="J52" s="4">
        <f>IF(Top1Idx=8,CHOOSE(2,J_sysTok_lo,(J_sysTok_lo+D_sysTok)/2,D_sysTok,(D_sysTok+J_sysTok_hi)/2,J_sysTok_hi),IF(Top2Idx=8,CHOOSE(5,J_sysTok_lo,(J_sysTok_lo+D_sysTok)/2,D_sysTok,(D_sysTok+J_sysTok_hi)/2,J_sysTok_hi),D_sysTok))</f>
        <v>1500</v>
      </c>
      <c r="K52" s="6">
        <f>IF(Top1Idx=9,CHOOSE(2,J_realization_lo,(J_realization_lo+D_realization)/2,D_realization,(D_realization+J_realization_hi)/2,J_realization_hi),IF(Top2Idx=9,CHOOSE(5,J_realization_lo,(J_realization_lo+D_realization)/2,D_realization,(D_realization+J_realization_hi)/2,J_realization_hi),D_realization))</f>
        <v>1</v>
      </c>
      <c r="L52" s="4">
        <f t="shared" si="32"/>
        <v>5</v>
      </c>
      <c r="M52" s="4">
        <f t="shared" si="33"/>
        <v>20</v>
      </c>
      <c r="N52" s="6">
        <f>0</f>
        <v>0</v>
      </c>
      <c r="O52" s="25">
        <f t="shared" si="40"/>
        <v>12</v>
      </c>
      <c r="P52" s="25">
        <f t="shared" si="41"/>
        <v>960</v>
      </c>
      <c r="Q52" s="25">
        <f t="shared" si="42"/>
        <v>2880</v>
      </c>
      <c r="R52" s="25">
        <f t="shared" si="43"/>
        <v>21120</v>
      </c>
      <c r="S52" s="25">
        <f t="shared" si="44"/>
        <v>18000</v>
      </c>
      <c r="T52" s="30">
        <f t="shared" si="45"/>
        <v>10</v>
      </c>
      <c r="U52" s="30">
        <f t="shared" si="46"/>
        <v>0.3</v>
      </c>
      <c r="V52" s="30">
        <f t="shared" si="47"/>
        <v>20</v>
      </c>
      <c r="W52" s="30">
        <f t="shared" si="48"/>
        <v>0.6</v>
      </c>
      <c r="X52" s="30">
        <f t="shared" si="49"/>
        <v>0.06</v>
      </c>
      <c r="Y52" s="7">
        <f t="shared" si="50"/>
        <v>8.534520000000001E-2</v>
      </c>
      <c r="Z52" s="7">
        <f t="shared" si="51"/>
        <v>2.1336300000000002E-2</v>
      </c>
      <c r="AA52" s="25">
        <f t="shared" si="52"/>
        <v>8</v>
      </c>
      <c r="AB52" s="25">
        <f t="shared" si="53"/>
        <v>24</v>
      </c>
      <c r="AC52" s="25">
        <f t="shared" si="54"/>
        <v>80</v>
      </c>
      <c r="AD52" s="25">
        <f t="shared" si="55"/>
        <v>8</v>
      </c>
      <c r="AE52" s="25">
        <f t="shared" si="56"/>
        <v>20</v>
      </c>
      <c r="AF52" s="25">
        <f t="shared" si="57"/>
        <v>20</v>
      </c>
      <c r="AG52" s="25">
        <f t="shared" si="58"/>
        <v>14</v>
      </c>
      <c r="AH52" s="30">
        <f t="shared" si="59"/>
        <v>0.29870820000000003</v>
      </c>
      <c r="AI52" s="25">
        <f t="shared" si="60"/>
        <v>11340000</v>
      </c>
      <c r="AJ52" s="25">
        <f t="shared" si="61"/>
        <v>2551499.9999999995</v>
      </c>
      <c r="AK52" s="33">
        <f t="shared" si="62"/>
        <v>2286461.9168999996</v>
      </c>
      <c r="AL52" s="33">
        <f t="shared" si="63"/>
        <v>0</v>
      </c>
      <c r="AM52" s="5">
        <f t="shared" si="64"/>
        <v>0.72013074201813609</v>
      </c>
    </row>
    <row r="53" spans="1:39" x14ac:dyDescent="0.45">
      <c r="A53" t="s">
        <v>476</v>
      </c>
      <c r="B53" t="s">
        <v>477</v>
      </c>
      <c r="C53" s="6">
        <f>IF(Top1Idx=1,CHOOSE(3,J_maxShare_lo,(J_maxShare_lo+D_maxShare)/2,D_maxShare,(D_maxShare+J_maxShare_hi)/2,J_maxShare_hi),IF(Top2Idx=1,CHOOSE(1,J_maxShare_lo,(J_maxShare_lo+D_maxShare)/2,D_maxShare,(D_maxShare+J_maxShare_hi)/2,J_maxShare_hi),D_maxShare))</f>
        <v>0.1</v>
      </c>
      <c r="D53" s="6">
        <f>IF(Top1Idx=2,CHOOSE(3,J_adoptSuper_lo,(J_adoptSuper_lo+D_adoptSuper)/2,D_adoptSuper,(D_adoptSuper+J_adoptSuper_hi)/2,J_adoptSuper_hi),IF(Top2Idx=2,CHOOSE(1,J_adoptSuper_lo,(J_adoptSuper_lo+D_adoptSuper)/2,D_adoptSuper,(D_adoptSuper+J_adoptSuper_hi)/2,J_adoptSuper_hi),D_adoptSuper))</f>
        <v>0.3</v>
      </c>
      <c r="E53" s="22">
        <f>IF(Top1Idx=3,CHOOSE(3,J_callsScale_lo,(J_callsScale_lo+D_callsScale)/2,D_callsScale,(D_callsScale+J_callsScale_hi)/2,J_callsScale_hi),IF(Top2Idx=3,CHOOSE(1,J_callsScale_lo,(J_callsScale_lo+D_callsScale)/2,D_callsScale,(D_callsScale+J_callsScale_hi)/2,J_callsScale_hi),D_callsScale))</f>
        <v>1</v>
      </c>
      <c r="F53" s="25">
        <f>IF(Top1Idx=4,CHOOSE(3,J_L_lo,(J_L_lo+D_L)/2,D_L,(D_L+J_L_hi)/2,J_L_hi),IF(Top2Idx=4,CHOOSE(1,J_L_lo,(J_L_lo+D_L)/2,D_L,(D_L+J_L_hi)/2,J_L_hi),D_L))</f>
        <v>4</v>
      </c>
      <c r="G53" s="6">
        <f>IF(Top1Idx=5,CHOOSE(3,J_s_lo,(J_s_lo+D_s)/2,D_s,(D_s+J_s_hi)/2,J_s_hi),IF(Top2Idx=5,CHOOSE(1,J_s_lo,(J_s_lo+D_s)/2,D_s,(D_s+J_s_hi)/2,J_s_hi),D_s))</f>
        <v>0.4</v>
      </c>
      <c r="H53" s="4">
        <f>IF(Top1Idx=6,CHOOSE(3,J_r_lo,(J_r_lo+D_r)/2,D_r,(D_r+J_r_hi)/2,J_r_hi),IF(Top2Idx=6,CHOOSE(1,J_r_lo,(J_r_lo+D_r)/2,D_r,(D_r+J_r_hi)/2,J_r_hi),D_r))</f>
        <v>3</v>
      </c>
      <c r="I53" s="6">
        <f>IF(Top1Idx=7,CHOOSE(3,J_c_lo,(J_c_lo+D_c)/2,D_c,(D_c+J_c_hi)/2,J_c_hi),IF(Top2Idx=7,CHOOSE(1,J_c_lo,(J_c_lo+D_c)/2,D_c,(D_c+J_c_hi)/2,J_c_hi),D_c))</f>
        <v>0.5</v>
      </c>
      <c r="J53" s="4">
        <f>IF(Top1Idx=8,CHOOSE(3,J_sysTok_lo,(J_sysTok_lo+D_sysTok)/2,D_sysTok,(D_sysTok+J_sysTok_hi)/2,J_sysTok_hi),IF(Top2Idx=8,CHOOSE(1,J_sysTok_lo,(J_sysTok_lo+D_sysTok)/2,D_sysTok,(D_sysTok+J_sysTok_hi)/2,J_sysTok_hi),D_sysTok))</f>
        <v>1500</v>
      </c>
      <c r="K53" s="6">
        <f>IF(Top1Idx=9,CHOOSE(3,J_realization_lo,(J_realization_lo+D_realization)/2,D_realization,(D_realization+J_realization_hi)/2,J_realization_hi),IF(Top2Idx=9,CHOOSE(1,J_realization_lo,(J_realization_lo+D_realization)/2,D_realization,(D_realization+J_realization_hi)/2,J_realization_hi),D_realization))</f>
        <v>1</v>
      </c>
      <c r="L53" s="4">
        <f t="shared" si="32"/>
        <v>5</v>
      </c>
      <c r="M53" s="4">
        <f t="shared" si="33"/>
        <v>20</v>
      </c>
      <c r="N53" s="6">
        <f>0</f>
        <v>0</v>
      </c>
      <c r="O53" s="25">
        <f t="shared" si="40"/>
        <v>12</v>
      </c>
      <c r="P53" s="25">
        <f t="shared" si="41"/>
        <v>960</v>
      </c>
      <c r="Q53" s="25">
        <f t="shared" si="42"/>
        <v>2880</v>
      </c>
      <c r="R53" s="25">
        <f t="shared" si="43"/>
        <v>21120</v>
      </c>
      <c r="S53" s="25">
        <f t="shared" si="44"/>
        <v>18000</v>
      </c>
      <c r="T53" s="30">
        <f t="shared" si="45"/>
        <v>10</v>
      </c>
      <c r="U53" s="30">
        <f t="shared" si="46"/>
        <v>0.3</v>
      </c>
      <c r="V53" s="30">
        <f t="shared" si="47"/>
        <v>20</v>
      </c>
      <c r="W53" s="30">
        <f t="shared" si="48"/>
        <v>0.6</v>
      </c>
      <c r="X53" s="30">
        <f t="shared" si="49"/>
        <v>0.06</v>
      </c>
      <c r="Y53" s="7">
        <f t="shared" si="50"/>
        <v>0.18190799999999999</v>
      </c>
      <c r="Z53" s="7">
        <f t="shared" si="51"/>
        <v>4.5476999999999997E-2</v>
      </c>
      <c r="AA53" s="25">
        <f t="shared" si="52"/>
        <v>8</v>
      </c>
      <c r="AB53" s="25">
        <f t="shared" si="53"/>
        <v>24</v>
      </c>
      <c r="AC53" s="25">
        <f t="shared" si="54"/>
        <v>80</v>
      </c>
      <c r="AD53" s="25">
        <f t="shared" si="55"/>
        <v>8</v>
      </c>
      <c r="AE53" s="25">
        <f t="shared" si="56"/>
        <v>20</v>
      </c>
      <c r="AF53" s="25">
        <f t="shared" si="57"/>
        <v>20</v>
      </c>
      <c r="AG53" s="25">
        <f t="shared" si="58"/>
        <v>14</v>
      </c>
      <c r="AH53" s="30">
        <f t="shared" si="59"/>
        <v>0.63667799999999997</v>
      </c>
      <c r="AI53" s="25">
        <f t="shared" si="60"/>
        <v>11340000</v>
      </c>
      <c r="AJ53" s="25">
        <f t="shared" si="61"/>
        <v>3402000</v>
      </c>
      <c r="AK53" s="33">
        <f t="shared" si="62"/>
        <v>6497935.6679999996</v>
      </c>
      <c r="AL53" s="33">
        <f t="shared" si="63"/>
        <v>0</v>
      </c>
      <c r="AM53" s="5">
        <f t="shared" si="64"/>
        <v>0.70601977767823776</v>
      </c>
    </row>
    <row r="54" spans="1:39" x14ac:dyDescent="0.45">
      <c r="A54" t="s">
        <v>478</v>
      </c>
      <c r="B54" t="s">
        <v>479</v>
      </c>
      <c r="C54" s="6">
        <f>IF(Top1Idx=1,CHOOSE(3,J_maxShare_lo,(J_maxShare_lo+D_maxShare)/2,D_maxShare,(D_maxShare+J_maxShare_hi)/2,J_maxShare_hi),IF(Top2Idx=1,CHOOSE(2,J_maxShare_lo,(J_maxShare_lo+D_maxShare)/2,D_maxShare,(D_maxShare+J_maxShare_hi)/2,J_maxShare_hi),D_maxShare))</f>
        <v>0.1</v>
      </c>
      <c r="D54" s="6">
        <f>IF(Top1Idx=2,CHOOSE(3,J_adoptSuper_lo,(J_adoptSuper_lo+D_adoptSuper)/2,D_adoptSuper,(D_adoptSuper+J_adoptSuper_hi)/2,J_adoptSuper_hi),IF(Top2Idx=2,CHOOSE(2,J_adoptSuper_lo,(J_adoptSuper_lo+D_adoptSuper)/2,D_adoptSuper,(D_adoptSuper+J_adoptSuper_hi)/2,J_adoptSuper_hi),D_adoptSuper))</f>
        <v>0.3</v>
      </c>
      <c r="E54" s="22">
        <f>IF(Top1Idx=3,CHOOSE(3,J_callsScale_lo,(J_callsScale_lo+D_callsScale)/2,D_callsScale,(D_callsScale+J_callsScale_hi)/2,J_callsScale_hi),IF(Top2Idx=3,CHOOSE(2,J_callsScale_lo,(J_callsScale_lo+D_callsScale)/2,D_callsScale,(D_callsScale+J_callsScale_hi)/2,J_callsScale_hi),D_callsScale))</f>
        <v>1</v>
      </c>
      <c r="F54" s="25">
        <f>IF(Top1Idx=4,CHOOSE(3,J_L_lo,(J_L_lo+D_L)/2,D_L,(D_L+J_L_hi)/2,J_L_hi),IF(Top2Idx=4,CHOOSE(2,J_L_lo,(J_L_lo+D_L)/2,D_L,(D_L+J_L_hi)/2,J_L_hi),D_L))</f>
        <v>4</v>
      </c>
      <c r="G54" s="6">
        <f>IF(Top1Idx=5,CHOOSE(3,J_s_lo,(J_s_lo+D_s)/2,D_s,(D_s+J_s_hi)/2,J_s_hi),IF(Top2Idx=5,CHOOSE(2,J_s_lo,(J_s_lo+D_s)/2,D_s,(D_s+J_s_hi)/2,J_s_hi),D_s))</f>
        <v>0.4</v>
      </c>
      <c r="H54" s="4">
        <f>IF(Top1Idx=6,CHOOSE(3,J_r_lo,(J_r_lo+D_r)/2,D_r,(D_r+J_r_hi)/2,J_r_hi),IF(Top2Idx=6,CHOOSE(2,J_r_lo,(J_r_lo+D_r)/2,D_r,(D_r+J_r_hi)/2,J_r_hi),D_r))</f>
        <v>3</v>
      </c>
      <c r="I54" s="6">
        <f>IF(Top1Idx=7,CHOOSE(3,J_c_lo,(J_c_lo+D_c)/2,D_c,(D_c+J_c_hi)/2,J_c_hi),IF(Top2Idx=7,CHOOSE(2,J_c_lo,(J_c_lo+D_c)/2,D_c,(D_c+J_c_hi)/2,J_c_hi),D_c))</f>
        <v>0.65</v>
      </c>
      <c r="J54" s="4">
        <f>IF(Top1Idx=8,CHOOSE(3,J_sysTok_lo,(J_sysTok_lo+D_sysTok)/2,D_sysTok,(D_sysTok+J_sysTok_hi)/2,J_sysTok_hi),IF(Top2Idx=8,CHOOSE(2,J_sysTok_lo,(J_sysTok_lo+D_sysTok)/2,D_sysTok,(D_sysTok+J_sysTok_hi)/2,J_sysTok_hi),D_sysTok))</f>
        <v>1500</v>
      </c>
      <c r="K54" s="6">
        <f>IF(Top1Idx=9,CHOOSE(3,J_realization_lo,(J_realization_lo+D_realization)/2,D_realization,(D_realization+J_realization_hi)/2,J_realization_hi),IF(Top2Idx=9,CHOOSE(2,J_realization_lo,(J_realization_lo+D_realization)/2,D_realization,(D_realization+J_realization_hi)/2,J_realization_hi),D_realization))</f>
        <v>1</v>
      </c>
      <c r="L54" s="4">
        <f t="shared" si="32"/>
        <v>5</v>
      </c>
      <c r="M54" s="4">
        <f t="shared" si="33"/>
        <v>20</v>
      </c>
      <c r="N54" s="6">
        <f>0</f>
        <v>0</v>
      </c>
      <c r="O54" s="25">
        <f t="shared" si="40"/>
        <v>12</v>
      </c>
      <c r="P54" s="25">
        <f t="shared" si="41"/>
        <v>960</v>
      </c>
      <c r="Q54" s="25">
        <f t="shared" si="42"/>
        <v>2880</v>
      </c>
      <c r="R54" s="25">
        <f t="shared" si="43"/>
        <v>21120</v>
      </c>
      <c r="S54" s="25">
        <f t="shared" si="44"/>
        <v>18000</v>
      </c>
      <c r="T54" s="30">
        <f t="shared" si="45"/>
        <v>10</v>
      </c>
      <c r="U54" s="30">
        <f t="shared" si="46"/>
        <v>0.3</v>
      </c>
      <c r="V54" s="30">
        <f t="shared" si="47"/>
        <v>20</v>
      </c>
      <c r="W54" s="30">
        <f t="shared" si="48"/>
        <v>0.6</v>
      </c>
      <c r="X54" s="30">
        <f t="shared" si="49"/>
        <v>0.06</v>
      </c>
      <c r="Y54" s="7">
        <f t="shared" si="50"/>
        <v>0.1497204</v>
      </c>
      <c r="Z54" s="7">
        <f t="shared" si="51"/>
        <v>3.7430100000000001E-2</v>
      </c>
      <c r="AA54" s="25">
        <f t="shared" si="52"/>
        <v>8</v>
      </c>
      <c r="AB54" s="25">
        <f t="shared" si="53"/>
        <v>24</v>
      </c>
      <c r="AC54" s="25">
        <f t="shared" si="54"/>
        <v>80</v>
      </c>
      <c r="AD54" s="25">
        <f t="shared" si="55"/>
        <v>8</v>
      </c>
      <c r="AE54" s="25">
        <f t="shared" si="56"/>
        <v>20</v>
      </c>
      <c r="AF54" s="25">
        <f t="shared" si="57"/>
        <v>20</v>
      </c>
      <c r="AG54" s="25">
        <f t="shared" si="58"/>
        <v>14</v>
      </c>
      <c r="AH54" s="30">
        <f t="shared" si="59"/>
        <v>0.52402139999999997</v>
      </c>
      <c r="AI54" s="25">
        <f t="shared" si="60"/>
        <v>11340000</v>
      </c>
      <c r="AJ54" s="25">
        <f t="shared" si="61"/>
        <v>3402000</v>
      </c>
      <c r="AK54" s="33">
        <f t="shared" si="62"/>
        <v>5348162.4084000001</v>
      </c>
      <c r="AL54" s="33">
        <f t="shared" si="63"/>
        <v>0</v>
      </c>
      <c r="AM54" s="5">
        <f t="shared" si="64"/>
        <v>0.70987220806818063</v>
      </c>
    </row>
    <row r="55" spans="1:39" x14ac:dyDescent="0.45">
      <c r="A55" t="s">
        <v>480</v>
      </c>
      <c r="B55" t="s">
        <v>481</v>
      </c>
      <c r="C55" s="6">
        <f>IF(Top1Idx=1,CHOOSE(3,J_maxShare_lo,(J_maxShare_lo+D_maxShare)/2,D_maxShare,(D_maxShare+J_maxShare_hi)/2,J_maxShare_hi),IF(Top2Idx=1,CHOOSE(3,J_maxShare_lo,(J_maxShare_lo+D_maxShare)/2,D_maxShare,(D_maxShare+J_maxShare_hi)/2,J_maxShare_hi),D_maxShare))</f>
        <v>0.1</v>
      </c>
      <c r="D55" s="6">
        <f>IF(Top1Idx=2,CHOOSE(3,J_adoptSuper_lo,(J_adoptSuper_lo+D_adoptSuper)/2,D_adoptSuper,(D_adoptSuper+J_adoptSuper_hi)/2,J_adoptSuper_hi),IF(Top2Idx=2,CHOOSE(3,J_adoptSuper_lo,(J_adoptSuper_lo+D_adoptSuper)/2,D_adoptSuper,(D_adoptSuper+J_adoptSuper_hi)/2,J_adoptSuper_hi),D_adoptSuper))</f>
        <v>0.3</v>
      </c>
      <c r="E55" s="22">
        <f>IF(Top1Idx=3,CHOOSE(3,J_callsScale_lo,(J_callsScale_lo+D_callsScale)/2,D_callsScale,(D_callsScale+J_callsScale_hi)/2,J_callsScale_hi),IF(Top2Idx=3,CHOOSE(3,J_callsScale_lo,(J_callsScale_lo+D_callsScale)/2,D_callsScale,(D_callsScale+J_callsScale_hi)/2,J_callsScale_hi),D_callsScale))</f>
        <v>1</v>
      </c>
      <c r="F55" s="25">
        <f>IF(Top1Idx=4,CHOOSE(3,J_L_lo,(J_L_lo+D_L)/2,D_L,(D_L+J_L_hi)/2,J_L_hi),IF(Top2Idx=4,CHOOSE(3,J_L_lo,(J_L_lo+D_L)/2,D_L,(D_L+J_L_hi)/2,J_L_hi),D_L))</f>
        <v>4</v>
      </c>
      <c r="G55" s="6">
        <f>IF(Top1Idx=5,CHOOSE(3,J_s_lo,(J_s_lo+D_s)/2,D_s,(D_s+J_s_hi)/2,J_s_hi),IF(Top2Idx=5,CHOOSE(3,J_s_lo,(J_s_lo+D_s)/2,D_s,(D_s+J_s_hi)/2,J_s_hi),D_s))</f>
        <v>0.4</v>
      </c>
      <c r="H55" s="4">
        <f>IF(Top1Idx=6,CHOOSE(3,J_r_lo,(J_r_lo+D_r)/2,D_r,(D_r+J_r_hi)/2,J_r_hi),IF(Top2Idx=6,CHOOSE(3,J_r_lo,(J_r_lo+D_r)/2,D_r,(D_r+J_r_hi)/2,J_r_hi),D_r))</f>
        <v>3</v>
      </c>
      <c r="I55" s="6">
        <f>IF(Top1Idx=7,CHOOSE(3,J_c_lo,(J_c_lo+D_c)/2,D_c,(D_c+J_c_hi)/2,J_c_hi),IF(Top2Idx=7,CHOOSE(3,J_c_lo,(J_c_lo+D_c)/2,D_c,(D_c+J_c_hi)/2,J_c_hi),D_c))</f>
        <v>0.8</v>
      </c>
      <c r="J55" s="4">
        <f>IF(Top1Idx=8,CHOOSE(3,J_sysTok_lo,(J_sysTok_lo+D_sysTok)/2,D_sysTok,(D_sysTok+J_sysTok_hi)/2,J_sysTok_hi),IF(Top2Idx=8,CHOOSE(3,J_sysTok_lo,(J_sysTok_lo+D_sysTok)/2,D_sysTok,(D_sysTok+J_sysTok_hi)/2,J_sysTok_hi),D_sysTok))</f>
        <v>1500</v>
      </c>
      <c r="K55" s="6">
        <f>IF(Top1Idx=9,CHOOSE(3,J_realization_lo,(J_realization_lo+D_realization)/2,D_realization,(D_realization+J_realization_hi)/2,J_realization_hi),IF(Top2Idx=9,CHOOSE(3,J_realization_lo,(J_realization_lo+D_realization)/2,D_realization,(D_realization+J_realization_hi)/2,J_realization_hi),D_realization))</f>
        <v>1</v>
      </c>
      <c r="L55" s="4">
        <f t="shared" si="32"/>
        <v>5</v>
      </c>
      <c r="M55" s="4">
        <f t="shared" si="33"/>
        <v>20</v>
      </c>
      <c r="N55" s="6">
        <f>0</f>
        <v>0</v>
      </c>
      <c r="O55" s="25">
        <f t="shared" si="40"/>
        <v>12</v>
      </c>
      <c r="P55" s="25">
        <f t="shared" si="41"/>
        <v>960</v>
      </c>
      <c r="Q55" s="25">
        <f t="shared" si="42"/>
        <v>2880</v>
      </c>
      <c r="R55" s="25">
        <f t="shared" si="43"/>
        <v>21120</v>
      </c>
      <c r="S55" s="25">
        <f t="shared" si="44"/>
        <v>18000</v>
      </c>
      <c r="T55" s="30">
        <f t="shared" si="45"/>
        <v>10</v>
      </c>
      <c r="U55" s="30">
        <f t="shared" si="46"/>
        <v>0.3</v>
      </c>
      <c r="V55" s="30">
        <f t="shared" si="47"/>
        <v>20</v>
      </c>
      <c r="W55" s="30">
        <f t="shared" si="48"/>
        <v>0.6</v>
      </c>
      <c r="X55" s="30">
        <f t="shared" si="49"/>
        <v>0.06</v>
      </c>
      <c r="Y55" s="7">
        <f t="shared" si="50"/>
        <v>0.11753279999999999</v>
      </c>
      <c r="Z55" s="7">
        <f t="shared" si="51"/>
        <v>2.9383199999999998E-2</v>
      </c>
      <c r="AA55" s="25">
        <f t="shared" si="52"/>
        <v>8</v>
      </c>
      <c r="AB55" s="25">
        <f t="shared" si="53"/>
        <v>24</v>
      </c>
      <c r="AC55" s="25">
        <f t="shared" si="54"/>
        <v>80</v>
      </c>
      <c r="AD55" s="25">
        <f t="shared" si="55"/>
        <v>8</v>
      </c>
      <c r="AE55" s="25">
        <f t="shared" si="56"/>
        <v>20</v>
      </c>
      <c r="AF55" s="25">
        <f t="shared" si="57"/>
        <v>20</v>
      </c>
      <c r="AG55" s="25">
        <f t="shared" si="58"/>
        <v>14</v>
      </c>
      <c r="AH55" s="30">
        <f t="shared" si="59"/>
        <v>0.41136479999999997</v>
      </c>
      <c r="AI55" s="25">
        <f t="shared" si="60"/>
        <v>11340000</v>
      </c>
      <c r="AJ55" s="25">
        <f t="shared" si="61"/>
        <v>3402000</v>
      </c>
      <c r="AK55" s="33">
        <f t="shared" si="62"/>
        <v>4198389.1488000005</v>
      </c>
      <c r="AL55" s="33">
        <f t="shared" si="63"/>
        <v>0</v>
      </c>
      <c r="AM55" s="5">
        <f t="shared" si="64"/>
        <v>0.71372463845812351</v>
      </c>
    </row>
    <row r="56" spans="1:39" x14ac:dyDescent="0.45">
      <c r="A56" t="s">
        <v>482</v>
      </c>
      <c r="B56" t="s">
        <v>483</v>
      </c>
      <c r="C56" s="6">
        <f>IF(Top1Idx=1,CHOOSE(3,J_maxShare_lo,(J_maxShare_lo+D_maxShare)/2,D_maxShare,(D_maxShare+J_maxShare_hi)/2,J_maxShare_hi),IF(Top2Idx=1,CHOOSE(4,J_maxShare_lo,(J_maxShare_lo+D_maxShare)/2,D_maxShare,(D_maxShare+J_maxShare_hi)/2,J_maxShare_hi),D_maxShare))</f>
        <v>0.1</v>
      </c>
      <c r="D56" s="6">
        <f>IF(Top1Idx=2,CHOOSE(3,J_adoptSuper_lo,(J_adoptSuper_lo+D_adoptSuper)/2,D_adoptSuper,(D_adoptSuper+J_adoptSuper_hi)/2,J_adoptSuper_hi),IF(Top2Idx=2,CHOOSE(4,J_adoptSuper_lo,(J_adoptSuper_lo+D_adoptSuper)/2,D_adoptSuper,(D_adoptSuper+J_adoptSuper_hi)/2,J_adoptSuper_hi),D_adoptSuper))</f>
        <v>0.3</v>
      </c>
      <c r="E56" s="22">
        <f>IF(Top1Idx=3,CHOOSE(3,J_callsScale_lo,(J_callsScale_lo+D_callsScale)/2,D_callsScale,(D_callsScale+J_callsScale_hi)/2,J_callsScale_hi),IF(Top2Idx=3,CHOOSE(4,J_callsScale_lo,(J_callsScale_lo+D_callsScale)/2,D_callsScale,(D_callsScale+J_callsScale_hi)/2,J_callsScale_hi),D_callsScale))</f>
        <v>1</v>
      </c>
      <c r="F56" s="25">
        <f>IF(Top1Idx=4,CHOOSE(3,J_L_lo,(J_L_lo+D_L)/2,D_L,(D_L+J_L_hi)/2,J_L_hi),IF(Top2Idx=4,CHOOSE(4,J_L_lo,(J_L_lo+D_L)/2,D_L,(D_L+J_L_hi)/2,J_L_hi),D_L))</f>
        <v>4</v>
      </c>
      <c r="G56" s="6">
        <f>IF(Top1Idx=5,CHOOSE(3,J_s_lo,(J_s_lo+D_s)/2,D_s,(D_s+J_s_hi)/2,J_s_hi),IF(Top2Idx=5,CHOOSE(4,J_s_lo,(J_s_lo+D_s)/2,D_s,(D_s+J_s_hi)/2,J_s_hi),D_s))</f>
        <v>0.4</v>
      </c>
      <c r="H56" s="4">
        <f>IF(Top1Idx=6,CHOOSE(3,J_r_lo,(J_r_lo+D_r)/2,D_r,(D_r+J_r_hi)/2,J_r_hi),IF(Top2Idx=6,CHOOSE(4,J_r_lo,(J_r_lo+D_r)/2,D_r,(D_r+J_r_hi)/2,J_r_hi),D_r))</f>
        <v>3</v>
      </c>
      <c r="I56" s="6">
        <f>IF(Top1Idx=7,CHOOSE(3,J_c_lo,(J_c_lo+D_c)/2,D_c,(D_c+J_c_hi)/2,J_c_hi),IF(Top2Idx=7,CHOOSE(4,J_c_lo,(J_c_lo+D_c)/2,D_c,(D_c+J_c_hi)/2,J_c_hi),D_c))</f>
        <v>0.875</v>
      </c>
      <c r="J56" s="4">
        <f>IF(Top1Idx=8,CHOOSE(3,J_sysTok_lo,(J_sysTok_lo+D_sysTok)/2,D_sysTok,(D_sysTok+J_sysTok_hi)/2,J_sysTok_hi),IF(Top2Idx=8,CHOOSE(4,J_sysTok_lo,(J_sysTok_lo+D_sysTok)/2,D_sysTok,(D_sysTok+J_sysTok_hi)/2,J_sysTok_hi),D_sysTok))</f>
        <v>1500</v>
      </c>
      <c r="K56" s="6">
        <f>IF(Top1Idx=9,CHOOSE(3,J_realization_lo,(J_realization_lo+D_realization)/2,D_realization,(D_realization+J_realization_hi)/2,J_realization_hi),IF(Top2Idx=9,CHOOSE(4,J_realization_lo,(J_realization_lo+D_realization)/2,D_realization,(D_realization+J_realization_hi)/2,J_realization_hi),D_realization))</f>
        <v>1</v>
      </c>
      <c r="L56" s="4">
        <f t="shared" si="32"/>
        <v>5</v>
      </c>
      <c r="M56" s="4">
        <f t="shared" si="33"/>
        <v>20</v>
      </c>
      <c r="N56" s="6">
        <f>0</f>
        <v>0</v>
      </c>
      <c r="O56" s="25">
        <f t="shared" si="40"/>
        <v>12</v>
      </c>
      <c r="P56" s="25">
        <f t="shared" si="41"/>
        <v>960</v>
      </c>
      <c r="Q56" s="25">
        <f t="shared" si="42"/>
        <v>2880</v>
      </c>
      <c r="R56" s="25">
        <f t="shared" si="43"/>
        <v>21120</v>
      </c>
      <c r="S56" s="25">
        <f t="shared" si="44"/>
        <v>18000</v>
      </c>
      <c r="T56" s="30">
        <f t="shared" si="45"/>
        <v>10</v>
      </c>
      <c r="U56" s="30">
        <f t="shared" si="46"/>
        <v>0.3</v>
      </c>
      <c r="V56" s="30">
        <f t="shared" si="47"/>
        <v>20</v>
      </c>
      <c r="W56" s="30">
        <f t="shared" si="48"/>
        <v>0.6</v>
      </c>
      <c r="X56" s="30">
        <f t="shared" si="49"/>
        <v>0.06</v>
      </c>
      <c r="Y56" s="7">
        <f t="shared" si="50"/>
        <v>0.101439</v>
      </c>
      <c r="Z56" s="7">
        <f t="shared" si="51"/>
        <v>2.535975E-2</v>
      </c>
      <c r="AA56" s="25">
        <f t="shared" si="52"/>
        <v>8</v>
      </c>
      <c r="AB56" s="25">
        <f t="shared" si="53"/>
        <v>24</v>
      </c>
      <c r="AC56" s="25">
        <f t="shared" si="54"/>
        <v>80</v>
      </c>
      <c r="AD56" s="25">
        <f t="shared" si="55"/>
        <v>8</v>
      </c>
      <c r="AE56" s="25">
        <f t="shared" si="56"/>
        <v>20</v>
      </c>
      <c r="AF56" s="25">
        <f t="shared" si="57"/>
        <v>20</v>
      </c>
      <c r="AG56" s="25">
        <f t="shared" si="58"/>
        <v>14</v>
      </c>
      <c r="AH56" s="30">
        <f t="shared" si="59"/>
        <v>0.35503649999999998</v>
      </c>
      <c r="AI56" s="25">
        <f t="shared" si="60"/>
        <v>11340000</v>
      </c>
      <c r="AJ56" s="25">
        <f t="shared" si="61"/>
        <v>3402000</v>
      </c>
      <c r="AK56" s="33">
        <f t="shared" si="62"/>
        <v>3623502.5189999999</v>
      </c>
      <c r="AL56" s="33">
        <f t="shared" si="63"/>
        <v>0</v>
      </c>
      <c r="AM56" s="5">
        <f t="shared" si="64"/>
        <v>0.71565085365309489</v>
      </c>
    </row>
    <row r="57" spans="1:39" x14ac:dyDescent="0.45">
      <c r="A57" t="s">
        <v>484</v>
      </c>
      <c r="B57" t="s">
        <v>485</v>
      </c>
      <c r="C57" s="6">
        <f>IF(Top1Idx=1,CHOOSE(3,J_maxShare_lo,(J_maxShare_lo+D_maxShare)/2,D_maxShare,(D_maxShare+J_maxShare_hi)/2,J_maxShare_hi),IF(Top2Idx=1,CHOOSE(5,J_maxShare_lo,(J_maxShare_lo+D_maxShare)/2,D_maxShare,(D_maxShare+J_maxShare_hi)/2,J_maxShare_hi),D_maxShare))</f>
        <v>0.1</v>
      </c>
      <c r="D57" s="6">
        <f>IF(Top1Idx=2,CHOOSE(3,J_adoptSuper_lo,(J_adoptSuper_lo+D_adoptSuper)/2,D_adoptSuper,(D_adoptSuper+J_adoptSuper_hi)/2,J_adoptSuper_hi),IF(Top2Idx=2,CHOOSE(5,J_adoptSuper_lo,(J_adoptSuper_lo+D_adoptSuper)/2,D_adoptSuper,(D_adoptSuper+J_adoptSuper_hi)/2,J_adoptSuper_hi),D_adoptSuper))</f>
        <v>0.3</v>
      </c>
      <c r="E57" s="22">
        <f>IF(Top1Idx=3,CHOOSE(3,J_callsScale_lo,(J_callsScale_lo+D_callsScale)/2,D_callsScale,(D_callsScale+J_callsScale_hi)/2,J_callsScale_hi),IF(Top2Idx=3,CHOOSE(5,J_callsScale_lo,(J_callsScale_lo+D_callsScale)/2,D_callsScale,(D_callsScale+J_callsScale_hi)/2,J_callsScale_hi),D_callsScale))</f>
        <v>1</v>
      </c>
      <c r="F57" s="25">
        <f>IF(Top1Idx=4,CHOOSE(3,J_L_lo,(J_L_lo+D_L)/2,D_L,(D_L+J_L_hi)/2,J_L_hi),IF(Top2Idx=4,CHOOSE(5,J_L_lo,(J_L_lo+D_L)/2,D_L,(D_L+J_L_hi)/2,J_L_hi),D_L))</f>
        <v>4</v>
      </c>
      <c r="G57" s="6">
        <f>IF(Top1Idx=5,CHOOSE(3,J_s_lo,(J_s_lo+D_s)/2,D_s,(D_s+J_s_hi)/2,J_s_hi),IF(Top2Idx=5,CHOOSE(5,J_s_lo,(J_s_lo+D_s)/2,D_s,(D_s+J_s_hi)/2,J_s_hi),D_s))</f>
        <v>0.4</v>
      </c>
      <c r="H57" s="4">
        <f>IF(Top1Idx=6,CHOOSE(3,J_r_lo,(J_r_lo+D_r)/2,D_r,(D_r+J_r_hi)/2,J_r_hi),IF(Top2Idx=6,CHOOSE(5,J_r_lo,(J_r_lo+D_r)/2,D_r,(D_r+J_r_hi)/2,J_r_hi),D_r))</f>
        <v>3</v>
      </c>
      <c r="I57" s="6">
        <f>IF(Top1Idx=7,CHOOSE(3,J_c_lo,(J_c_lo+D_c)/2,D_c,(D_c+J_c_hi)/2,J_c_hi),IF(Top2Idx=7,CHOOSE(5,J_c_lo,(J_c_lo+D_c)/2,D_c,(D_c+J_c_hi)/2,J_c_hi),D_c))</f>
        <v>0.95</v>
      </c>
      <c r="J57" s="4">
        <f>IF(Top1Idx=8,CHOOSE(3,J_sysTok_lo,(J_sysTok_lo+D_sysTok)/2,D_sysTok,(D_sysTok+J_sysTok_hi)/2,J_sysTok_hi),IF(Top2Idx=8,CHOOSE(5,J_sysTok_lo,(J_sysTok_lo+D_sysTok)/2,D_sysTok,(D_sysTok+J_sysTok_hi)/2,J_sysTok_hi),D_sysTok))</f>
        <v>1500</v>
      </c>
      <c r="K57" s="6">
        <f>IF(Top1Idx=9,CHOOSE(3,J_realization_lo,(J_realization_lo+D_realization)/2,D_realization,(D_realization+J_realization_hi)/2,J_realization_hi),IF(Top2Idx=9,CHOOSE(5,J_realization_lo,(J_realization_lo+D_realization)/2,D_realization,(D_realization+J_realization_hi)/2,J_realization_hi),D_realization))</f>
        <v>1</v>
      </c>
      <c r="L57" s="4">
        <f t="shared" si="32"/>
        <v>5</v>
      </c>
      <c r="M57" s="4">
        <f t="shared" si="33"/>
        <v>20</v>
      </c>
      <c r="N57" s="6">
        <f>0</f>
        <v>0</v>
      </c>
      <c r="O57" s="25">
        <f t="shared" si="40"/>
        <v>12</v>
      </c>
      <c r="P57" s="25">
        <f t="shared" si="41"/>
        <v>960</v>
      </c>
      <c r="Q57" s="25">
        <f t="shared" si="42"/>
        <v>2880</v>
      </c>
      <c r="R57" s="25">
        <f t="shared" si="43"/>
        <v>21120</v>
      </c>
      <c r="S57" s="25">
        <f t="shared" si="44"/>
        <v>18000</v>
      </c>
      <c r="T57" s="30">
        <f t="shared" si="45"/>
        <v>10</v>
      </c>
      <c r="U57" s="30">
        <f t="shared" si="46"/>
        <v>0.3</v>
      </c>
      <c r="V57" s="30">
        <f t="shared" si="47"/>
        <v>20</v>
      </c>
      <c r="W57" s="30">
        <f t="shared" si="48"/>
        <v>0.6</v>
      </c>
      <c r="X57" s="30">
        <f t="shared" si="49"/>
        <v>0.06</v>
      </c>
      <c r="Y57" s="7">
        <f t="shared" si="50"/>
        <v>8.534520000000001E-2</v>
      </c>
      <c r="Z57" s="7">
        <f t="shared" si="51"/>
        <v>2.1336300000000002E-2</v>
      </c>
      <c r="AA57" s="25">
        <f t="shared" si="52"/>
        <v>8</v>
      </c>
      <c r="AB57" s="25">
        <f t="shared" si="53"/>
        <v>24</v>
      </c>
      <c r="AC57" s="25">
        <f t="shared" si="54"/>
        <v>80</v>
      </c>
      <c r="AD57" s="25">
        <f t="shared" si="55"/>
        <v>8</v>
      </c>
      <c r="AE57" s="25">
        <f t="shared" si="56"/>
        <v>20</v>
      </c>
      <c r="AF57" s="25">
        <f t="shared" si="57"/>
        <v>20</v>
      </c>
      <c r="AG57" s="25">
        <f t="shared" si="58"/>
        <v>14</v>
      </c>
      <c r="AH57" s="30">
        <f t="shared" si="59"/>
        <v>0.29870820000000003</v>
      </c>
      <c r="AI57" s="25">
        <f t="shared" si="60"/>
        <v>11340000</v>
      </c>
      <c r="AJ57" s="25">
        <f t="shared" si="61"/>
        <v>3402000</v>
      </c>
      <c r="AK57" s="33">
        <f t="shared" si="62"/>
        <v>3048615.8892000001</v>
      </c>
      <c r="AL57" s="33">
        <f t="shared" si="63"/>
        <v>0</v>
      </c>
      <c r="AM57" s="5">
        <f t="shared" si="64"/>
        <v>0.71757706884806627</v>
      </c>
    </row>
    <row r="58" spans="1:39" x14ac:dyDescent="0.45">
      <c r="A58" t="s">
        <v>486</v>
      </c>
      <c r="B58" t="s">
        <v>487</v>
      </c>
      <c r="C58" s="6">
        <f>IF(Top1Idx=1,CHOOSE(4,J_maxShare_lo,(J_maxShare_lo+D_maxShare)/2,D_maxShare,(D_maxShare+J_maxShare_hi)/2,J_maxShare_hi),IF(Top2Idx=1,CHOOSE(1,J_maxShare_lo,(J_maxShare_lo+D_maxShare)/2,D_maxShare,(D_maxShare+J_maxShare_hi)/2,J_maxShare_hi),D_maxShare))</f>
        <v>0.1</v>
      </c>
      <c r="D58" s="6">
        <f>IF(Top1Idx=2,CHOOSE(4,J_adoptSuper_lo,(J_adoptSuper_lo+D_adoptSuper)/2,D_adoptSuper,(D_adoptSuper+J_adoptSuper_hi)/2,J_adoptSuper_hi),IF(Top2Idx=2,CHOOSE(1,J_adoptSuper_lo,(J_adoptSuper_lo+D_adoptSuper)/2,D_adoptSuper,(D_adoptSuper+J_adoptSuper_hi)/2,J_adoptSuper_hi),D_adoptSuper))</f>
        <v>0.4</v>
      </c>
      <c r="E58" s="22">
        <f>IF(Top1Idx=3,CHOOSE(4,J_callsScale_lo,(J_callsScale_lo+D_callsScale)/2,D_callsScale,(D_callsScale+J_callsScale_hi)/2,J_callsScale_hi),IF(Top2Idx=3,CHOOSE(1,J_callsScale_lo,(J_callsScale_lo+D_callsScale)/2,D_callsScale,(D_callsScale+J_callsScale_hi)/2,J_callsScale_hi),D_callsScale))</f>
        <v>1</v>
      </c>
      <c r="F58" s="25">
        <f>IF(Top1Idx=4,CHOOSE(4,J_L_lo,(J_L_lo+D_L)/2,D_L,(D_L+J_L_hi)/2,J_L_hi),IF(Top2Idx=4,CHOOSE(1,J_L_lo,(J_L_lo+D_L)/2,D_L,(D_L+J_L_hi)/2,J_L_hi),D_L))</f>
        <v>4</v>
      </c>
      <c r="G58" s="6">
        <f>IF(Top1Idx=5,CHOOSE(4,J_s_lo,(J_s_lo+D_s)/2,D_s,(D_s+J_s_hi)/2,J_s_hi),IF(Top2Idx=5,CHOOSE(1,J_s_lo,(J_s_lo+D_s)/2,D_s,(D_s+J_s_hi)/2,J_s_hi),D_s))</f>
        <v>0.4</v>
      </c>
      <c r="H58" s="4">
        <f>IF(Top1Idx=6,CHOOSE(4,J_r_lo,(J_r_lo+D_r)/2,D_r,(D_r+J_r_hi)/2,J_r_hi),IF(Top2Idx=6,CHOOSE(1,J_r_lo,(J_r_lo+D_r)/2,D_r,(D_r+J_r_hi)/2,J_r_hi),D_r))</f>
        <v>3</v>
      </c>
      <c r="I58" s="6">
        <f>IF(Top1Idx=7,CHOOSE(4,J_c_lo,(J_c_lo+D_c)/2,D_c,(D_c+J_c_hi)/2,J_c_hi),IF(Top2Idx=7,CHOOSE(1,J_c_lo,(J_c_lo+D_c)/2,D_c,(D_c+J_c_hi)/2,J_c_hi),D_c))</f>
        <v>0.5</v>
      </c>
      <c r="J58" s="4">
        <f>IF(Top1Idx=8,CHOOSE(4,J_sysTok_lo,(J_sysTok_lo+D_sysTok)/2,D_sysTok,(D_sysTok+J_sysTok_hi)/2,J_sysTok_hi),IF(Top2Idx=8,CHOOSE(1,J_sysTok_lo,(J_sysTok_lo+D_sysTok)/2,D_sysTok,(D_sysTok+J_sysTok_hi)/2,J_sysTok_hi),D_sysTok))</f>
        <v>1500</v>
      </c>
      <c r="K58" s="6">
        <f>IF(Top1Idx=9,CHOOSE(4,J_realization_lo,(J_realization_lo+D_realization)/2,D_realization,(D_realization+J_realization_hi)/2,J_realization_hi),IF(Top2Idx=9,CHOOSE(1,J_realization_lo,(J_realization_lo+D_realization)/2,D_realization,(D_realization+J_realization_hi)/2,J_realization_hi),D_realization))</f>
        <v>1</v>
      </c>
      <c r="L58" s="4">
        <f t="shared" si="32"/>
        <v>5</v>
      </c>
      <c r="M58" s="4">
        <f t="shared" si="33"/>
        <v>20</v>
      </c>
      <c r="N58" s="6">
        <f>0</f>
        <v>0</v>
      </c>
      <c r="O58" s="25">
        <f t="shared" si="40"/>
        <v>12</v>
      </c>
      <c r="P58" s="25">
        <f t="shared" si="41"/>
        <v>960</v>
      </c>
      <c r="Q58" s="25">
        <f t="shared" si="42"/>
        <v>2880</v>
      </c>
      <c r="R58" s="25">
        <f t="shared" si="43"/>
        <v>21120</v>
      </c>
      <c r="S58" s="25">
        <f t="shared" si="44"/>
        <v>18000</v>
      </c>
      <c r="T58" s="30">
        <f t="shared" si="45"/>
        <v>10</v>
      </c>
      <c r="U58" s="30">
        <f t="shared" si="46"/>
        <v>0.3</v>
      </c>
      <c r="V58" s="30">
        <f t="shared" si="47"/>
        <v>20</v>
      </c>
      <c r="W58" s="30">
        <f t="shared" si="48"/>
        <v>0.6</v>
      </c>
      <c r="X58" s="30">
        <f t="shared" si="49"/>
        <v>0.06</v>
      </c>
      <c r="Y58" s="7">
        <f t="shared" si="50"/>
        <v>0.18190799999999999</v>
      </c>
      <c r="Z58" s="7">
        <f t="shared" si="51"/>
        <v>4.5476999999999997E-2</v>
      </c>
      <c r="AA58" s="25">
        <f t="shared" si="52"/>
        <v>8</v>
      </c>
      <c r="AB58" s="25">
        <f t="shared" si="53"/>
        <v>24</v>
      </c>
      <c r="AC58" s="25">
        <f t="shared" si="54"/>
        <v>80</v>
      </c>
      <c r="AD58" s="25">
        <f t="shared" si="55"/>
        <v>8</v>
      </c>
      <c r="AE58" s="25">
        <f t="shared" si="56"/>
        <v>20</v>
      </c>
      <c r="AF58" s="25">
        <f t="shared" si="57"/>
        <v>20</v>
      </c>
      <c r="AG58" s="25">
        <f t="shared" si="58"/>
        <v>14</v>
      </c>
      <c r="AH58" s="30">
        <f t="shared" si="59"/>
        <v>0.63667799999999997</v>
      </c>
      <c r="AI58" s="25">
        <f t="shared" si="60"/>
        <v>11340000</v>
      </c>
      <c r="AJ58" s="25">
        <f t="shared" si="61"/>
        <v>4536000</v>
      </c>
      <c r="AK58" s="33">
        <f t="shared" si="62"/>
        <v>8663914.2239999995</v>
      </c>
      <c r="AL58" s="33">
        <f t="shared" si="63"/>
        <v>0</v>
      </c>
      <c r="AM58" s="5">
        <f t="shared" si="64"/>
        <v>0.6987624497282019</v>
      </c>
    </row>
    <row r="59" spans="1:39" x14ac:dyDescent="0.45">
      <c r="A59" t="s">
        <v>488</v>
      </c>
      <c r="B59" t="s">
        <v>489</v>
      </c>
      <c r="C59" s="6">
        <f>IF(Top1Idx=1,CHOOSE(4,J_maxShare_lo,(J_maxShare_lo+D_maxShare)/2,D_maxShare,(D_maxShare+J_maxShare_hi)/2,J_maxShare_hi),IF(Top2Idx=1,CHOOSE(2,J_maxShare_lo,(J_maxShare_lo+D_maxShare)/2,D_maxShare,(D_maxShare+J_maxShare_hi)/2,J_maxShare_hi),D_maxShare))</f>
        <v>0.1</v>
      </c>
      <c r="D59" s="6">
        <f>IF(Top1Idx=2,CHOOSE(4,J_adoptSuper_lo,(J_adoptSuper_lo+D_adoptSuper)/2,D_adoptSuper,(D_adoptSuper+J_adoptSuper_hi)/2,J_adoptSuper_hi),IF(Top2Idx=2,CHOOSE(2,J_adoptSuper_lo,(J_adoptSuper_lo+D_adoptSuper)/2,D_adoptSuper,(D_adoptSuper+J_adoptSuper_hi)/2,J_adoptSuper_hi),D_adoptSuper))</f>
        <v>0.4</v>
      </c>
      <c r="E59" s="22">
        <f>IF(Top1Idx=3,CHOOSE(4,J_callsScale_lo,(J_callsScale_lo+D_callsScale)/2,D_callsScale,(D_callsScale+J_callsScale_hi)/2,J_callsScale_hi),IF(Top2Idx=3,CHOOSE(2,J_callsScale_lo,(J_callsScale_lo+D_callsScale)/2,D_callsScale,(D_callsScale+J_callsScale_hi)/2,J_callsScale_hi),D_callsScale))</f>
        <v>1</v>
      </c>
      <c r="F59" s="25">
        <f>IF(Top1Idx=4,CHOOSE(4,J_L_lo,(J_L_lo+D_L)/2,D_L,(D_L+J_L_hi)/2,J_L_hi),IF(Top2Idx=4,CHOOSE(2,J_L_lo,(J_L_lo+D_L)/2,D_L,(D_L+J_L_hi)/2,J_L_hi),D_L))</f>
        <v>4</v>
      </c>
      <c r="G59" s="6">
        <f>IF(Top1Idx=5,CHOOSE(4,J_s_lo,(J_s_lo+D_s)/2,D_s,(D_s+J_s_hi)/2,J_s_hi),IF(Top2Idx=5,CHOOSE(2,J_s_lo,(J_s_lo+D_s)/2,D_s,(D_s+J_s_hi)/2,J_s_hi),D_s))</f>
        <v>0.4</v>
      </c>
      <c r="H59" s="4">
        <f>IF(Top1Idx=6,CHOOSE(4,J_r_lo,(J_r_lo+D_r)/2,D_r,(D_r+J_r_hi)/2,J_r_hi),IF(Top2Idx=6,CHOOSE(2,J_r_lo,(J_r_lo+D_r)/2,D_r,(D_r+J_r_hi)/2,J_r_hi),D_r))</f>
        <v>3</v>
      </c>
      <c r="I59" s="6">
        <f>IF(Top1Idx=7,CHOOSE(4,J_c_lo,(J_c_lo+D_c)/2,D_c,(D_c+J_c_hi)/2,J_c_hi),IF(Top2Idx=7,CHOOSE(2,J_c_lo,(J_c_lo+D_c)/2,D_c,(D_c+J_c_hi)/2,J_c_hi),D_c))</f>
        <v>0.65</v>
      </c>
      <c r="J59" s="4">
        <f>IF(Top1Idx=8,CHOOSE(4,J_sysTok_lo,(J_sysTok_lo+D_sysTok)/2,D_sysTok,(D_sysTok+J_sysTok_hi)/2,J_sysTok_hi),IF(Top2Idx=8,CHOOSE(2,J_sysTok_lo,(J_sysTok_lo+D_sysTok)/2,D_sysTok,(D_sysTok+J_sysTok_hi)/2,J_sysTok_hi),D_sysTok))</f>
        <v>1500</v>
      </c>
      <c r="K59" s="6">
        <f>IF(Top1Idx=9,CHOOSE(4,J_realization_lo,(J_realization_lo+D_realization)/2,D_realization,(D_realization+J_realization_hi)/2,J_realization_hi),IF(Top2Idx=9,CHOOSE(2,J_realization_lo,(J_realization_lo+D_realization)/2,D_realization,(D_realization+J_realization_hi)/2,J_realization_hi),D_realization))</f>
        <v>1</v>
      </c>
      <c r="L59" s="4">
        <f t="shared" si="32"/>
        <v>5</v>
      </c>
      <c r="M59" s="4">
        <f t="shared" si="33"/>
        <v>20</v>
      </c>
      <c r="N59" s="6">
        <f>0</f>
        <v>0</v>
      </c>
      <c r="O59" s="25">
        <f t="shared" si="40"/>
        <v>12</v>
      </c>
      <c r="P59" s="25">
        <f t="shared" si="41"/>
        <v>960</v>
      </c>
      <c r="Q59" s="25">
        <f t="shared" si="42"/>
        <v>2880</v>
      </c>
      <c r="R59" s="25">
        <f t="shared" si="43"/>
        <v>21120</v>
      </c>
      <c r="S59" s="25">
        <f t="shared" si="44"/>
        <v>18000</v>
      </c>
      <c r="T59" s="30">
        <f t="shared" si="45"/>
        <v>10</v>
      </c>
      <c r="U59" s="30">
        <f t="shared" si="46"/>
        <v>0.3</v>
      </c>
      <c r="V59" s="30">
        <f t="shared" si="47"/>
        <v>20</v>
      </c>
      <c r="W59" s="30">
        <f t="shared" si="48"/>
        <v>0.6</v>
      </c>
      <c r="X59" s="30">
        <f t="shared" si="49"/>
        <v>0.06</v>
      </c>
      <c r="Y59" s="7">
        <f t="shared" si="50"/>
        <v>0.1497204</v>
      </c>
      <c r="Z59" s="7">
        <f t="shared" si="51"/>
        <v>3.7430100000000001E-2</v>
      </c>
      <c r="AA59" s="25">
        <f t="shared" si="52"/>
        <v>8</v>
      </c>
      <c r="AB59" s="25">
        <f t="shared" si="53"/>
        <v>24</v>
      </c>
      <c r="AC59" s="25">
        <f t="shared" si="54"/>
        <v>80</v>
      </c>
      <c r="AD59" s="25">
        <f t="shared" si="55"/>
        <v>8</v>
      </c>
      <c r="AE59" s="25">
        <f t="shared" si="56"/>
        <v>20</v>
      </c>
      <c r="AF59" s="25">
        <f t="shared" si="57"/>
        <v>20</v>
      </c>
      <c r="AG59" s="25">
        <f t="shared" si="58"/>
        <v>14</v>
      </c>
      <c r="AH59" s="30">
        <f t="shared" si="59"/>
        <v>0.52402139999999997</v>
      </c>
      <c r="AI59" s="25">
        <f t="shared" si="60"/>
        <v>11340000</v>
      </c>
      <c r="AJ59" s="25">
        <f t="shared" si="61"/>
        <v>4536000</v>
      </c>
      <c r="AK59" s="33">
        <f t="shared" si="62"/>
        <v>7130883.2112000007</v>
      </c>
      <c r="AL59" s="33">
        <f t="shared" si="63"/>
        <v>0</v>
      </c>
      <c r="AM59" s="5">
        <f t="shared" si="64"/>
        <v>0.70389902358145906</v>
      </c>
    </row>
    <row r="60" spans="1:39" x14ac:dyDescent="0.45">
      <c r="A60" t="s">
        <v>490</v>
      </c>
      <c r="B60" t="s">
        <v>491</v>
      </c>
      <c r="C60" s="6">
        <f>IF(Top1Idx=1,CHOOSE(4,J_maxShare_lo,(J_maxShare_lo+D_maxShare)/2,D_maxShare,(D_maxShare+J_maxShare_hi)/2,J_maxShare_hi),IF(Top2Idx=1,CHOOSE(3,J_maxShare_lo,(J_maxShare_lo+D_maxShare)/2,D_maxShare,(D_maxShare+J_maxShare_hi)/2,J_maxShare_hi),D_maxShare))</f>
        <v>0.1</v>
      </c>
      <c r="D60" s="6">
        <f>IF(Top1Idx=2,CHOOSE(4,J_adoptSuper_lo,(J_adoptSuper_lo+D_adoptSuper)/2,D_adoptSuper,(D_adoptSuper+J_adoptSuper_hi)/2,J_adoptSuper_hi),IF(Top2Idx=2,CHOOSE(3,J_adoptSuper_lo,(J_adoptSuper_lo+D_adoptSuper)/2,D_adoptSuper,(D_adoptSuper+J_adoptSuper_hi)/2,J_adoptSuper_hi),D_adoptSuper))</f>
        <v>0.4</v>
      </c>
      <c r="E60" s="22">
        <f>IF(Top1Idx=3,CHOOSE(4,J_callsScale_lo,(J_callsScale_lo+D_callsScale)/2,D_callsScale,(D_callsScale+J_callsScale_hi)/2,J_callsScale_hi),IF(Top2Idx=3,CHOOSE(3,J_callsScale_lo,(J_callsScale_lo+D_callsScale)/2,D_callsScale,(D_callsScale+J_callsScale_hi)/2,J_callsScale_hi),D_callsScale))</f>
        <v>1</v>
      </c>
      <c r="F60" s="25">
        <f>IF(Top1Idx=4,CHOOSE(4,J_L_lo,(J_L_lo+D_L)/2,D_L,(D_L+J_L_hi)/2,J_L_hi),IF(Top2Idx=4,CHOOSE(3,J_L_lo,(J_L_lo+D_L)/2,D_L,(D_L+J_L_hi)/2,J_L_hi),D_L))</f>
        <v>4</v>
      </c>
      <c r="G60" s="6">
        <f>IF(Top1Idx=5,CHOOSE(4,J_s_lo,(J_s_lo+D_s)/2,D_s,(D_s+J_s_hi)/2,J_s_hi),IF(Top2Idx=5,CHOOSE(3,J_s_lo,(J_s_lo+D_s)/2,D_s,(D_s+J_s_hi)/2,J_s_hi),D_s))</f>
        <v>0.4</v>
      </c>
      <c r="H60" s="4">
        <f>IF(Top1Idx=6,CHOOSE(4,J_r_lo,(J_r_lo+D_r)/2,D_r,(D_r+J_r_hi)/2,J_r_hi),IF(Top2Idx=6,CHOOSE(3,J_r_lo,(J_r_lo+D_r)/2,D_r,(D_r+J_r_hi)/2,J_r_hi),D_r))</f>
        <v>3</v>
      </c>
      <c r="I60" s="6">
        <f>IF(Top1Idx=7,CHOOSE(4,J_c_lo,(J_c_lo+D_c)/2,D_c,(D_c+J_c_hi)/2,J_c_hi),IF(Top2Idx=7,CHOOSE(3,J_c_lo,(J_c_lo+D_c)/2,D_c,(D_c+J_c_hi)/2,J_c_hi),D_c))</f>
        <v>0.8</v>
      </c>
      <c r="J60" s="4">
        <f>IF(Top1Idx=8,CHOOSE(4,J_sysTok_lo,(J_sysTok_lo+D_sysTok)/2,D_sysTok,(D_sysTok+J_sysTok_hi)/2,J_sysTok_hi),IF(Top2Idx=8,CHOOSE(3,J_sysTok_lo,(J_sysTok_lo+D_sysTok)/2,D_sysTok,(D_sysTok+J_sysTok_hi)/2,J_sysTok_hi),D_sysTok))</f>
        <v>1500</v>
      </c>
      <c r="K60" s="6">
        <f>IF(Top1Idx=9,CHOOSE(4,J_realization_lo,(J_realization_lo+D_realization)/2,D_realization,(D_realization+J_realization_hi)/2,J_realization_hi),IF(Top2Idx=9,CHOOSE(3,J_realization_lo,(J_realization_lo+D_realization)/2,D_realization,(D_realization+J_realization_hi)/2,J_realization_hi),D_realization))</f>
        <v>1</v>
      </c>
      <c r="L60" s="4">
        <f t="shared" si="32"/>
        <v>5</v>
      </c>
      <c r="M60" s="4">
        <f t="shared" si="33"/>
        <v>20</v>
      </c>
      <c r="N60" s="6">
        <f>0</f>
        <v>0</v>
      </c>
      <c r="O60" s="25">
        <f t="shared" si="40"/>
        <v>12</v>
      </c>
      <c r="P60" s="25">
        <f t="shared" si="41"/>
        <v>960</v>
      </c>
      <c r="Q60" s="25">
        <f t="shared" si="42"/>
        <v>2880</v>
      </c>
      <c r="R60" s="25">
        <f t="shared" si="43"/>
        <v>21120</v>
      </c>
      <c r="S60" s="25">
        <f t="shared" si="44"/>
        <v>18000</v>
      </c>
      <c r="T60" s="30">
        <f t="shared" si="45"/>
        <v>10</v>
      </c>
      <c r="U60" s="30">
        <f t="shared" si="46"/>
        <v>0.3</v>
      </c>
      <c r="V60" s="30">
        <f t="shared" si="47"/>
        <v>20</v>
      </c>
      <c r="W60" s="30">
        <f t="shared" si="48"/>
        <v>0.6</v>
      </c>
      <c r="X60" s="30">
        <f t="shared" si="49"/>
        <v>0.06</v>
      </c>
      <c r="Y60" s="7">
        <f t="shared" si="50"/>
        <v>0.11753279999999999</v>
      </c>
      <c r="Z60" s="7">
        <f t="shared" si="51"/>
        <v>2.9383199999999998E-2</v>
      </c>
      <c r="AA60" s="25">
        <f t="shared" si="52"/>
        <v>8</v>
      </c>
      <c r="AB60" s="25">
        <f t="shared" si="53"/>
        <v>24</v>
      </c>
      <c r="AC60" s="25">
        <f t="shared" si="54"/>
        <v>80</v>
      </c>
      <c r="AD60" s="25">
        <f t="shared" si="55"/>
        <v>8</v>
      </c>
      <c r="AE60" s="25">
        <f t="shared" si="56"/>
        <v>20</v>
      </c>
      <c r="AF60" s="25">
        <f t="shared" si="57"/>
        <v>20</v>
      </c>
      <c r="AG60" s="25">
        <f t="shared" si="58"/>
        <v>14</v>
      </c>
      <c r="AH60" s="30">
        <f t="shared" si="59"/>
        <v>0.41136479999999997</v>
      </c>
      <c r="AI60" s="25">
        <f t="shared" si="60"/>
        <v>11340000</v>
      </c>
      <c r="AJ60" s="25">
        <f t="shared" si="61"/>
        <v>4536000</v>
      </c>
      <c r="AK60" s="33">
        <f t="shared" si="62"/>
        <v>5597852.1984000001</v>
      </c>
      <c r="AL60" s="33">
        <f t="shared" si="63"/>
        <v>0</v>
      </c>
      <c r="AM60" s="5">
        <f t="shared" si="64"/>
        <v>0.70903559743471622</v>
      </c>
    </row>
    <row r="61" spans="1:39" x14ac:dyDescent="0.45">
      <c r="A61" t="s">
        <v>492</v>
      </c>
      <c r="B61" t="s">
        <v>493</v>
      </c>
      <c r="C61" s="6">
        <f>IF(Top1Idx=1,CHOOSE(4,J_maxShare_lo,(J_maxShare_lo+D_maxShare)/2,D_maxShare,(D_maxShare+J_maxShare_hi)/2,J_maxShare_hi),IF(Top2Idx=1,CHOOSE(4,J_maxShare_lo,(J_maxShare_lo+D_maxShare)/2,D_maxShare,(D_maxShare+J_maxShare_hi)/2,J_maxShare_hi),D_maxShare))</f>
        <v>0.1</v>
      </c>
      <c r="D61" s="6">
        <f>IF(Top1Idx=2,CHOOSE(4,J_adoptSuper_lo,(J_adoptSuper_lo+D_adoptSuper)/2,D_adoptSuper,(D_adoptSuper+J_adoptSuper_hi)/2,J_adoptSuper_hi),IF(Top2Idx=2,CHOOSE(4,J_adoptSuper_lo,(J_adoptSuper_lo+D_adoptSuper)/2,D_adoptSuper,(D_adoptSuper+J_adoptSuper_hi)/2,J_adoptSuper_hi),D_adoptSuper))</f>
        <v>0.4</v>
      </c>
      <c r="E61" s="22">
        <f>IF(Top1Idx=3,CHOOSE(4,J_callsScale_lo,(J_callsScale_lo+D_callsScale)/2,D_callsScale,(D_callsScale+J_callsScale_hi)/2,J_callsScale_hi),IF(Top2Idx=3,CHOOSE(4,J_callsScale_lo,(J_callsScale_lo+D_callsScale)/2,D_callsScale,(D_callsScale+J_callsScale_hi)/2,J_callsScale_hi),D_callsScale))</f>
        <v>1</v>
      </c>
      <c r="F61" s="25">
        <f>IF(Top1Idx=4,CHOOSE(4,J_L_lo,(J_L_lo+D_L)/2,D_L,(D_L+J_L_hi)/2,J_L_hi),IF(Top2Idx=4,CHOOSE(4,J_L_lo,(J_L_lo+D_L)/2,D_L,(D_L+J_L_hi)/2,J_L_hi),D_L))</f>
        <v>4</v>
      </c>
      <c r="G61" s="6">
        <f>IF(Top1Idx=5,CHOOSE(4,J_s_lo,(J_s_lo+D_s)/2,D_s,(D_s+J_s_hi)/2,J_s_hi),IF(Top2Idx=5,CHOOSE(4,J_s_lo,(J_s_lo+D_s)/2,D_s,(D_s+J_s_hi)/2,J_s_hi),D_s))</f>
        <v>0.4</v>
      </c>
      <c r="H61" s="4">
        <f>IF(Top1Idx=6,CHOOSE(4,J_r_lo,(J_r_lo+D_r)/2,D_r,(D_r+J_r_hi)/2,J_r_hi),IF(Top2Idx=6,CHOOSE(4,J_r_lo,(J_r_lo+D_r)/2,D_r,(D_r+J_r_hi)/2,J_r_hi),D_r))</f>
        <v>3</v>
      </c>
      <c r="I61" s="6">
        <f>IF(Top1Idx=7,CHOOSE(4,J_c_lo,(J_c_lo+D_c)/2,D_c,(D_c+J_c_hi)/2,J_c_hi),IF(Top2Idx=7,CHOOSE(4,J_c_lo,(J_c_lo+D_c)/2,D_c,(D_c+J_c_hi)/2,J_c_hi),D_c))</f>
        <v>0.875</v>
      </c>
      <c r="J61" s="4">
        <f>IF(Top1Idx=8,CHOOSE(4,J_sysTok_lo,(J_sysTok_lo+D_sysTok)/2,D_sysTok,(D_sysTok+J_sysTok_hi)/2,J_sysTok_hi),IF(Top2Idx=8,CHOOSE(4,J_sysTok_lo,(J_sysTok_lo+D_sysTok)/2,D_sysTok,(D_sysTok+J_sysTok_hi)/2,J_sysTok_hi),D_sysTok))</f>
        <v>1500</v>
      </c>
      <c r="K61" s="6">
        <f>IF(Top1Idx=9,CHOOSE(4,J_realization_lo,(J_realization_lo+D_realization)/2,D_realization,(D_realization+J_realization_hi)/2,J_realization_hi),IF(Top2Idx=9,CHOOSE(4,J_realization_lo,(J_realization_lo+D_realization)/2,D_realization,(D_realization+J_realization_hi)/2,J_realization_hi),D_realization))</f>
        <v>1</v>
      </c>
      <c r="L61" s="4">
        <f t="shared" si="32"/>
        <v>5</v>
      </c>
      <c r="M61" s="4">
        <f t="shared" si="33"/>
        <v>20</v>
      </c>
      <c r="N61" s="6">
        <f>0</f>
        <v>0</v>
      </c>
      <c r="O61" s="25">
        <f t="shared" si="40"/>
        <v>12</v>
      </c>
      <c r="P61" s="25">
        <f t="shared" si="41"/>
        <v>960</v>
      </c>
      <c r="Q61" s="25">
        <f t="shared" si="42"/>
        <v>2880</v>
      </c>
      <c r="R61" s="25">
        <f t="shared" si="43"/>
        <v>21120</v>
      </c>
      <c r="S61" s="25">
        <f t="shared" si="44"/>
        <v>18000</v>
      </c>
      <c r="T61" s="30">
        <f t="shared" si="45"/>
        <v>10</v>
      </c>
      <c r="U61" s="30">
        <f t="shared" si="46"/>
        <v>0.3</v>
      </c>
      <c r="V61" s="30">
        <f t="shared" si="47"/>
        <v>20</v>
      </c>
      <c r="W61" s="30">
        <f t="shared" si="48"/>
        <v>0.6</v>
      </c>
      <c r="X61" s="30">
        <f t="shared" si="49"/>
        <v>0.06</v>
      </c>
      <c r="Y61" s="7">
        <f t="shared" si="50"/>
        <v>0.101439</v>
      </c>
      <c r="Z61" s="7">
        <f t="shared" si="51"/>
        <v>2.535975E-2</v>
      </c>
      <c r="AA61" s="25">
        <f t="shared" si="52"/>
        <v>8</v>
      </c>
      <c r="AB61" s="25">
        <f t="shared" si="53"/>
        <v>24</v>
      </c>
      <c r="AC61" s="25">
        <f t="shared" si="54"/>
        <v>80</v>
      </c>
      <c r="AD61" s="25">
        <f t="shared" si="55"/>
        <v>8</v>
      </c>
      <c r="AE61" s="25">
        <f t="shared" si="56"/>
        <v>20</v>
      </c>
      <c r="AF61" s="25">
        <f t="shared" si="57"/>
        <v>20</v>
      </c>
      <c r="AG61" s="25">
        <f t="shared" si="58"/>
        <v>14</v>
      </c>
      <c r="AH61" s="30">
        <f t="shared" si="59"/>
        <v>0.35503649999999998</v>
      </c>
      <c r="AI61" s="25">
        <f t="shared" si="60"/>
        <v>11340000</v>
      </c>
      <c r="AJ61" s="25">
        <f t="shared" si="61"/>
        <v>4536000</v>
      </c>
      <c r="AK61" s="33">
        <f t="shared" si="62"/>
        <v>4831336.6919999998</v>
      </c>
      <c r="AL61" s="33">
        <f t="shared" si="63"/>
        <v>0</v>
      </c>
      <c r="AM61" s="5">
        <f t="shared" si="64"/>
        <v>0.7116038843613447</v>
      </c>
    </row>
    <row r="62" spans="1:39" x14ac:dyDescent="0.45">
      <c r="A62" t="s">
        <v>494</v>
      </c>
      <c r="B62" t="s">
        <v>495</v>
      </c>
      <c r="C62" s="6">
        <f>IF(Top1Idx=1,CHOOSE(4,J_maxShare_lo,(J_maxShare_lo+D_maxShare)/2,D_maxShare,(D_maxShare+J_maxShare_hi)/2,J_maxShare_hi),IF(Top2Idx=1,CHOOSE(5,J_maxShare_lo,(J_maxShare_lo+D_maxShare)/2,D_maxShare,(D_maxShare+J_maxShare_hi)/2,J_maxShare_hi),D_maxShare))</f>
        <v>0.1</v>
      </c>
      <c r="D62" s="6">
        <f>IF(Top1Idx=2,CHOOSE(4,J_adoptSuper_lo,(J_adoptSuper_lo+D_adoptSuper)/2,D_adoptSuper,(D_adoptSuper+J_adoptSuper_hi)/2,J_adoptSuper_hi),IF(Top2Idx=2,CHOOSE(5,J_adoptSuper_lo,(J_adoptSuper_lo+D_adoptSuper)/2,D_adoptSuper,(D_adoptSuper+J_adoptSuper_hi)/2,J_adoptSuper_hi),D_adoptSuper))</f>
        <v>0.4</v>
      </c>
      <c r="E62" s="22">
        <f>IF(Top1Idx=3,CHOOSE(4,J_callsScale_lo,(J_callsScale_lo+D_callsScale)/2,D_callsScale,(D_callsScale+J_callsScale_hi)/2,J_callsScale_hi),IF(Top2Idx=3,CHOOSE(5,J_callsScale_lo,(J_callsScale_lo+D_callsScale)/2,D_callsScale,(D_callsScale+J_callsScale_hi)/2,J_callsScale_hi),D_callsScale))</f>
        <v>1</v>
      </c>
      <c r="F62" s="25">
        <f>IF(Top1Idx=4,CHOOSE(4,J_L_lo,(J_L_lo+D_L)/2,D_L,(D_L+J_L_hi)/2,J_L_hi),IF(Top2Idx=4,CHOOSE(5,J_L_lo,(J_L_lo+D_L)/2,D_L,(D_L+J_L_hi)/2,J_L_hi),D_L))</f>
        <v>4</v>
      </c>
      <c r="G62" s="6">
        <f>IF(Top1Idx=5,CHOOSE(4,J_s_lo,(J_s_lo+D_s)/2,D_s,(D_s+J_s_hi)/2,J_s_hi),IF(Top2Idx=5,CHOOSE(5,J_s_lo,(J_s_lo+D_s)/2,D_s,(D_s+J_s_hi)/2,J_s_hi),D_s))</f>
        <v>0.4</v>
      </c>
      <c r="H62" s="4">
        <f>IF(Top1Idx=6,CHOOSE(4,J_r_lo,(J_r_lo+D_r)/2,D_r,(D_r+J_r_hi)/2,J_r_hi),IF(Top2Idx=6,CHOOSE(5,J_r_lo,(J_r_lo+D_r)/2,D_r,(D_r+J_r_hi)/2,J_r_hi),D_r))</f>
        <v>3</v>
      </c>
      <c r="I62" s="6">
        <f>IF(Top1Idx=7,CHOOSE(4,J_c_lo,(J_c_lo+D_c)/2,D_c,(D_c+J_c_hi)/2,J_c_hi),IF(Top2Idx=7,CHOOSE(5,J_c_lo,(J_c_lo+D_c)/2,D_c,(D_c+J_c_hi)/2,J_c_hi),D_c))</f>
        <v>0.95</v>
      </c>
      <c r="J62" s="4">
        <f>IF(Top1Idx=8,CHOOSE(4,J_sysTok_lo,(J_sysTok_lo+D_sysTok)/2,D_sysTok,(D_sysTok+J_sysTok_hi)/2,J_sysTok_hi),IF(Top2Idx=8,CHOOSE(5,J_sysTok_lo,(J_sysTok_lo+D_sysTok)/2,D_sysTok,(D_sysTok+J_sysTok_hi)/2,J_sysTok_hi),D_sysTok))</f>
        <v>1500</v>
      </c>
      <c r="K62" s="6">
        <f>IF(Top1Idx=9,CHOOSE(4,J_realization_lo,(J_realization_lo+D_realization)/2,D_realization,(D_realization+J_realization_hi)/2,J_realization_hi),IF(Top2Idx=9,CHOOSE(5,J_realization_lo,(J_realization_lo+D_realization)/2,D_realization,(D_realization+J_realization_hi)/2,J_realization_hi),D_realization))</f>
        <v>1</v>
      </c>
      <c r="L62" s="4">
        <f t="shared" si="32"/>
        <v>5</v>
      </c>
      <c r="M62" s="4">
        <f t="shared" si="33"/>
        <v>20</v>
      </c>
      <c r="N62" s="6">
        <f>0</f>
        <v>0</v>
      </c>
      <c r="O62" s="25">
        <f t="shared" si="40"/>
        <v>12</v>
      </c>
      <c r="P62" s="25">
        <f t="shared" si="41"/>
        <v>960</v>
      </c>
      <c r="Q62" s="25">
        <f t="shared" si="42"/>
        <v>2880</v>
      </c>
      <c r="R62" s="25">
        <f t="shared" si="43"/>
        <v>21120</v>
      </c>
      <c r="S62" s="25">
        <f t="shared" si="44"/>
        <v>18000</v>
      </c>
      <c r="T62" s="30">
        <f t="shared" si="45"/>
        <v>10</v>
      </c>
      <c r="U62" s="30">
        <f t="shared" si="46"/>
        <v>0.3</v>
      </c>
      <c r="V62" s="30">
        <f t="shared" si="47"/>
        <v>20</v>
      </c>
      <c r="W62" s="30">
        <f t="shared" si="48"/>
        <v>0.6</v>
      </c>
      <c r="X62" s="30">
        <f t="shared" si="49"/>
        <v>0.06</v>
      </c>
      <c r="Y62" s="7">
        <f t="shared" si="50"/>
        <v>8.534520000000001E-2</v>
      </c>
      <c r="Z62" s="7">
        <f t="shared" si="51"/>
        <v>2.1336300000000002E-2</v>
      </c>
      <c r="AA62" s="25">
        <f t="shared" si="52"/>
        <v>8</v>
      </c>
      <c r="AB62" s="25">
        <f t="shared" si="53"/>
        <v>24</v>
      </c>
      <c r="AC62" s="25">
        <f t="shared" si="54"/>
        <v>80</v>
      </c>
      <c r="AD62" s="25">
        <f t="shared" si="55"/>
        <v>8</v>
      </c>
      <c r="AE62" s="25">
        <f t="shared" si="56"/>
        <v>20</v>
      </c>
      <c r="AF62" s="25">
        <f t="shared" si="57"/>
        <v>20</v>
      </c>
      <c r="AG62" s="25">
        <f t="shared" si="58"/>
        <v>14</v>
      </c>
      <c r="AH62" s="30">
        <f t="shared" si="59"/>
        <v>0.29870820000000003</v>
      </c>
      <c r="AI62" s="25">
        <f t="shared" si="60"/>
        <v>11340000</v>
      </c>
      <c r="AJ62" s="25">
        <f t="shared" si="61"/>
        <v>4536000</v>
      </c>
      <c r="AK62" s="33">
        <f t="shared" si="62"/>
        <v>4064821.1856000004</v>
      </c>
      <c r="AL62" s="33">
        <f t="shared" si="63"/>
        <v>0</v>
      </c>
      <c r="AM62" s="5">
        <f t="shared" si="64"/>
        <v>0.71417217128797328</v>
      </c>
    </row>
    <row r="63" spans="1:39" x14ac:dyDescent="0.45">
      <c r="A63" t="s">
        <v>496</v>
      </c>
      <c r="B63" t="s">
        <v>497</v>
      </c>
      <c r="C63" s="6">
        <f>IF(Top1Idx=1,CHOOSE(5,J_maxShare_lo,(J_maxShare_lo+D_maxShare)/2,D_maxShare,(D_maxShare+J_maxShare_hi)/2,J_maxShare_hi),IF(Top2Idx=1,CHOOSE(1,J_maxShare_lo,(J_maxShare_lo+D_maxShare)/2,D_maxShare,(D_maxShare+J_maxShare_hi)/2,J_maxShare_hi),D_maxShare))</f>
        <v>0.1</v>
      </c>
      <c r="D63" s="6">
        <f>IF(Top1Idx=2,CHOOSE(5,J_adoptSuper_lo,(J_adoptSuper_lo+D_adoptSuper)/2,D_adoptSuper,(D_adoptSuper+J_adoptSuper_hi)/2,J_adoptSuper_hi),IF(Top2Idx=2,CHOOSE(1,J_adoptSuper_lo,(J_adoptSuper_lo+D_adoptSuper)/2,D_adoptSuper,(D_adoptSuper+J_adoptSuper_hi)/2,J_adoptSuper_hi),D_adoptSuper))</f>
        <v>0.5</v>
      </c>
      <c r="E63" s="22">
        <f>IF(Top1Idx=3,CHOOSE(5,J_callsScale_lo,(J_callsScale_lo+D_callsScale)/2,D_callsScale,(D_callsScale+J_callsScale_hi)/2,J_callsScale_hi),IF(Top2Idx=3,CHOOSE(1,J_callsScale_lo,(J_callsScale_lo+D_callsScale)/2,D_callsScale,(D_callsScale+J_callsScale_hi)/2,J_callsScale_hi),D_callsScale))</f>
        <v>1</v>
      </c>
      <c r="F63" s="25">
        <f>IF(Top1Idx=4,CHOOSE(5,J_L_lo,(J_L_lo+D_L)/2,D_L,(D_L+J_L_hi)/2,J_L_hi),IF(Top2Idx=4,CHOOSE(1,J_L_lo,(J_L_lo+D_L)/2,D_L,(D_L+J_L_hi)/2,J_L_hi),D_L))</f>
        <v>4</v>
      </c>
      <c r="G63" s="6">
        <f>IF(Top1Idx=5,CHOOSE(5,J_s_lo,(J_s_lo+D_s)/2,D_s,(D_s+J_s_hi)/2,J_s_hi),IF(Top2Idx=5,CHOOSE(1,J_s_lo,(J_s_lo+D_s)/2,D_s,(D_s+J_s_hi)/2,J_s_hi),D_s))</f>
        <v>0.4</v>
      </c>
      <c r="H63" s="4">
        <f>IF(Top1Idx=6,CHOOSE(5,J_r_lo,(J_r_lo+D_r)/2,D_r,(D_r+J_r_hi)/2,J_r_hi),IF(Top2Idx=6,CHOOSE(1,J_r_lo,(J_r_lo+D_r)/2,D_r,(D_r+J_r_hi)/2,J_r_hi),D_r))</f>
        <v>3</v>
      </c>
      <c r="I63" s="6">
        <f>IF(Top1Idx=7,CHOOSE(5,J_c_lo,(J_c_lo+D_c)/2,D_c,(D_c+J_c_hi)/2,J_c_hi),IF(Top2Idx=7,CHOOSE(1,J_c_lo,(J_c_lo+D_c)/2,D_c,(D_c+J_c_hi)/2,J_c_hi),D_c))</f>
        <v>0.5</v>
      </c>
      <c r="J63" s="4">
        <f>IF(Top1Idx=8,CHOOSE(5,J_sysTok_lo,(J_sysTok_lo+D_sysTok)/2,D_sysTok,(D_sysTok+J_sysTok_hi)/2,J_sysTok_hi),IF(Top2Idx=8,CHOOSE(1,J_sysTok_lo,(J_sysTok_lo+D_sysTok)/2,D_sysTok,(D_sysTok+J_sysTok_hi)/2,J_sysTok_hi),D_sysTok))</f>
        <v>1500</v>
      </c>
      <c r="K63" s="6">
        <f>IF(Top1Idx=9,CHOOSE(5,J_realization_lo,(J_realization_lo+D_realization)/2,D_realization,(D_realization+J_realization_hi)/2,J_realization_hi),IF(Top2Idx=9,CHOOSE(1,J_realization_lo,(J_realization_lo+D_realization)/2,D_realization,(D_realization+J_realization_hi)/2,J_realization_hi),D_realization))</f>
        <v>1</v>
      </c>
      <c r="L63" s="4">
        <f t="shared" si="32"/>
        <v>5</v>
      </c>
      <c r="M63" s="4">
        <f t="shared" si="33"/>
        <v>20</v>
      </c>
      <c r="N63" s="6">
        <f>0</f>
        <v>0</v>
      </c>
      <c r="O63" s="25">
        <f t="shared" si="40"/>
        <v>12</v>
      </c>
      <c r="P63" s="25">
        <f t="shared" si="41"/>
        <v>960</v>
      </c>
      <c r="Q63" s="25">
        <f t="shared" si="42"/>
        <v>2880</v>
      </c>
      <c r="R63" s="25">
        <f t="shared" si="43"/>
        <v>21120</v>
      </c>
      <c r="S63" s="25">
        <f t="shared" si="44"/>
        <v>18000</v>
      </c>
      <c r="T63" s="30">
        <f t="shared" si="45"/>
        <v>10</v>
      </c>
      <c r="U63" s="30">
        <f t="shared" si="46"/>
        <v>0.3</v>
      </c>
      <c r="V63" s="30">
        <f t="shared" si="47"/>
        <v>20</v>
      </c>
      <c r="W63" s="30">
        <f t="shared" si="48"/>
        <v>0.6</v>
      </c>
      <c r="X63" s="30">
        <f t="shared" si="49"/>
        <v>0.06</v>
      </c>
      <c r="Y63" s="7">
        <f t="shared" si="50"/>
        <v>0.18190799999999999</v>
      </c>
      <c r="Z63" s="7">
        <f t="shared" si="51"/>
        <v>4.5476999999999997E-2</v>
      </c>
      <c r="AA63" s="25">
        <f t="shared" si="52"/>
        <v>8</v>
      </c>
      <c r="AB63" s="25">
        <f t="shared" si="53"/>
        <v>24</v>
      </c>
      <c r="AC63" s="25">
        <f t="shared" si="54"/>
        <v>80</v>
      </c>
      <c r="AD63" s="25">
        <f t="shared" si="55"/>
        <v>8</v>
      </c>
      <c r="AE63" s="25">
        <f t="shared" si="56"/>
        <v>20</v>
      </c>
      <c r="AF63" s="25">
        <f t="shared" si="57"/>
        <v>20</v>
      </c>
      <c r="AG63" s="25">
        <f t="shared" si="58"/>
        <v>14</v>
      </c>
      <c r="AH63" s="30">
        <f t="shared" si="59"/>
        <v>0.63667799999999997</v>
      </c>
      <c r="AI63" s="25">
        <f t="shared" si="60"/>
        <v>11340000</v>
      </c>
      <c r="AJ63" s="25">
        <f t="shared" si="61"/>
        <v>5670000</v>
      </c>
      <c r="AK63" s="33">
        <f t="shared" si="62"/>
        <v>10829892.779999999</v>
      </c>
      <c r="AL63" s="33">
        <f t="shared" si="63"/>
        <v>0</v>
      </c>
      <c r="AM63" s="5">
        <f t="shared" si="64"/>
        <v>0.69150512177816614</v>
      </c>
    </row>
    <row r="64" spans="1:39" x14ac:dyDescent="0.45">
      <c r="A64" t="s">
        <v>498</v>
      </c>
      <c r="B64" t="s">
        <v>499</v>
      </c>
      <c r="C64" s="6">
        <f>IF(Top1Idx=1,CHOOSE(5,J_maxShare_lo,(J_maxShare_lo+D_maxShare)/2,D_maxShare,(D_maxShare+J_maxShare_hi)/2,J_maxShare_hi),IF(Top2Idx=1,CHOOSE(2,J_maxShare_lo,(J_maxShare_lo+D_maxShare)/2,D_maxShare,(D_maxShare+J_maxShare_hi)/2,J_maxShare_hi),D_maxShare))</f>
        <v>0.1</v>
      </c>
      <c r="D64" s="6">
        <f>IF(Top1Idx=2,CHOOSE(5,J_adoptSuper_lo,(J_adoptSuper_lo+D_adoptSuper)/2,D_adoptSuper,(D_adoptSuper+J_adoptSuper_hi)/2,J_adoptSuper_hi),IF(Top2Idx=2,CHOOSE(2,J_adoptSuper_lo,(J_adoptSuper_lo+D_adoptSuper)/2,D_adoptSuper,(D_adoptSuper+J_adoptSuper_hi)/2,J_adoptSuper_hi),D_adoptSuper))</f>
        <v>0.5</v>
      </c>
      <c r="E64" s="22">
        <f>IF(Top1Idx=3,CHOOSE(5,J_callsScale_lo,(J_callsScale_lo+D_callsScale)/2,D_callsScale,(D_callsScale+J_callsScale_hi)/2,J_callsScale_hi),IF(Top2Idx=3,CHOOSE(2,J_callsScale_lo,(J_callsScale_lo+D_callsScale)/2,D_callsScale,(D_callsScale+J_callsScale_hi)/2,J_callsScale_hi),D_callsScale))</f>
        <v>1</v>
      </c>
      <c r="F64" s="25">
        <f>IF(Top1Idx=4,CHOOSE(5,J_L_lo,(J_L_lo+D_L)/2,D_L,(D_L+J_L_hi)/2,J_L_hi),IF(Top2Idx=4,CHOOSE(2,J_L_lo,(J_L_lo+D_L)/2,D_L,(D_L+J_L_hi)/2,J_L_hi),D_L))</f>
        <v>4</v>
      </c>
      <c r="G64" s="6">
        <f>IF(Top1Idx=5,CHOOSE(5,J_s_lo,(J_s_lo+D_s)/2,D_s,(D_s+J_s_hi)/2,J_s_hi),IF(Top2Idx=5,CHOOSE(2,J_s_lo,(J_s_lo+D_s)/2,D_s,(D_s+J_s_hi)/2,J_s_hi),D_s))</f>
        <v>0.4</v>
      </c>
      <c r="H64" s="4">
        <f>IF(Top1Idx=6,CHOOSE(5,J_r_lo,(J_r_lo+D_r)/2,D_r,(D_r+J_r_hi)/2,J_r_hi),IF(Top2Idx=6,CHOOSE(2,J_r_lo,(J_r_lo+D_r)/2,D_r,(D_r+J_r_hi)/2,J_r_hi),D_r))</f>
        <v>3</v>
      </c>
      <c r="I64" s="6">
        <f>IF(Top1Idx=7,CHOOSE(5,J_c_lo,(J_c_lo+D_c)/2,D_c,(D_c+J_c_hi)/2,J_c_hi),IF(Top2Idx=7,CHOOSE(2,J_c_lo,(J_c_lo+D_c)/2,D_c,(D_c+J_c_hi)/2,J_c_hi),D_c))</f>
        <v>0.65</v>
      </c>
      <c r="J64" s="4">
        <f>IF(Top1Idx=8,CHOOSE(5,J_sysTok_lo,(J_sysTok_lo+D_sysTok)/2,D_sysTok,(D_sysTok+J_sysTok_hi)/2,J_sysTok_hi),IF(Top2Idx=8,CHOOSE(2,J_sysTok_lo,(J_sysTok_lo+D_sysTok)/2,D_sysTok,(D_sysTok+J_sysTok_hi)/2,J_sysTok_hi),D_sysTok))</f>
        <v>1500</v>
      </c>
      <c r="K64" s="6">
        <f>IF(Top1Idx=9,CHOOSE(5,J_realization_lo,(J_realization_lo+D_realization)/2,D_realization,(D_realization+J_realization_hi)/2,J_realization_hi),IF(Top2Idx=9,CHOOSE(2,J_realization_lo,(J_realization_lo+D_realization)/2,D_realization,(D_realization+J_realization_hi)/2,J_realization_hi),D_realization))</f>
        <v>1</v>
      </c>
      <c r="L64" s="4">
        <f t="shared" si="32"/>
        <v>5</v>
      </c>
      <c r="M64" s="4">
        <f t="shared" si="33"/>
        <v>20</v>
      </c>
      <c r="N64" s="6">
        <f>0</f>
        <v>0</v>
      </c>
      <c r="O64" s="25">
        <f t="shared" si="40"/>
        <v>12</v>
      </c>
      <c r="P64" s="25">
        <f t="shared" si="41"/>
        <v>960</v>
      </c>
      <c r="Q64" s="25">
        <f t="shared" si="42"/>
        <v>2880</v>
      </c>
      <c r="R64" s="25">
        <f t="shared" si="43"/>
        <v>21120</v>
      </c>
      <c r="S64" s="25">
        <f t="shared" si="44"/>
        <v>18000</v>
      </c>
      <c r="T64" s="30">
        <f t="shared" si="45"/>
        <v>10</v>
      </c>
      <c r="U64" s="30">
        <f t="shared" si="46"/>
        <v>0.3</v>
      </c>
      <c r="V64" s="30">
        <f t="shared" si="47"/>
        <v>20</v>
      </c>
      <c r="W64" s="30">
        <f t="shared" si="48"/>
        <v>0.6</v>
      </c>
      <c r="X64" s="30">
        <f t="shared" si="49"/>
        <v>0.06</v>
      </c>
      <c r="Y64" s="7">
        <f t="shared" si="50"/>
        <v>0.1497204</v>
      </c>
      <c r="Z64" s="7">
        <f t="shared" si="51"/>
        <v>3.7430100000000001E-2</v>
      </c>
      <c r="AA64" s="25">
        <f t="shared" si="52"/>
        <v>8</v>
      </c>
      <c r="AB64" s="25">
        <f t="shared" si="53"/>
        <v>24</v>
      </c>
      <c r="AC64" s="25">
        <f t="shared" si="54"/>
        <v>80</v>
      </c>
      <c r="AD64" s="25">
        <f t="shared" si="55"/>
        <v>8</v>
      </c>
      <c r="AE64" s="25">
        <f t="shared" si="56"/>
        <v>20</v>
      </c>
      <c r="AF64" s="25">
        <f t="shared" si="57"/>
        <v>20</v>
      </c>
      <c r="AG64" s="25">
        <f t="shared" si="58"/>
        <v>14</v>
      </c>
      <c r="AH64" s="30">
        <f t="shared" si="59"/>
        <v>0.52402139999999997</v>
      </c>
      <c r="AI64" s="25">
        <f t="shared" si="60"/>
        <v>11340000</v>
      </c>
      <c r="AJ64" s="25">
        <f t="shared" si="61"/>
        <v>5670000</v>
      </c>
      <c r="AK64" s="33">
        <f t="shared" si="62"/>
        <v>8913604.0140000004</v>
      </c>
      <c r="AL64" s="33">
        <f t="shared" si="63"/>
        <v>0</v>
      </c>
      <c r="AM64" s="5">
        <f t="shared" si="64"/>
        <v>0.69792583909473749</v>
      </c>
    </row>
    <row r="65" spans="1:39" x14ac:dyDescent="0.45">
      <c r="A65" t="s">
        <v>500</v>
      </c>
      <c r="B65" t="s">
        <v>501</v>
      </c>
      <c r="C65" s="6">
        <f>IF(Top1Idx=1,CHOOSE(5,J_maxShare_lo,(J_maxShare_lo+D_maxShare)/2,D_maxShare,(D_maxShare+J_maxShare_hi)/2,J_maxShare_hi),IF(Top2Idx=1,CHOOSE(3,J_maxShare_lo,(J_maxShare_lo+D_maxShare)/2,D_maxShare,(D_maxShare+J_maxShare_hi)/2,J_maxShare_hi),D_maxShare))</f>
        <v>0.1</v>
      </c>
      <c r="D65" s="6">
        <f>IF(Top1Idx=2,CHOOSE(5,J_adoptSuper_lo,(J_adoptSuper_lo+D_adoptSuper)/2,D_adoptSuper,(D_adoptSuper+J_adoptSuper_hi)/2,J_adoptSuper_hi),IF(Top2Idx=2,CHOOSE(3,J_adoptSuper_lo,(J_adoptSuper_lo+D_adoptSuper)/2,D_adoptSuper,(D_adoptSuper+J_adoptSuper_hi)/2,J_adoptSuper_hi),D_adoptSuper))</f>
        <v>0.5</v>
      </c>
      <c r="E65" s="22">
        <f>IF(Top1Idx=3,CHOOSE(5,J_callsScale_lo,(J_callsScale_lo+D_callsScale)/2,D_callsScale,(D_callsScale+J_callsScale_hi)/2,J_callsScale_hi),IF(Top2Idx=3,CHOOSE(3,J_callsScale_lo,(J_callsScale_lo+D_callsScale)/2,D_callsScale,(D_callsScale+J_callsScale_hi)/2,J_callsScale_hi),D_callsScale))</f>
        <v>1</v>
      </c>
      <c r="F65" s="25">
        <f>IF(Top1Idx=4,CHOOSE(5,J_L_lo,(J_L_lo+D_L)/2,D_L,(D_L+J_L_hi)/2,J_L_hi),IF(Top2Idx=4,CHOOSE(3,J_L_lo,(J_L_lo+D_L)/2,D_L,(D_L+J_L_hi)/2,J_L_hi),D_L))</f>
        <v>4</v>
      </c>
      <c r="G65" s="6">
        <f>IF(Top1Idx=5,CHOOSE(5,J_s_lo,(J_s_lo+D_s)/2,D_s,(D_s+J_s_hi)/2,J_s_hi),IF(Top2Idx=5,CHOOSE(3,J_s_lo,(J_s_lo+D_s)/2,D_s,(D_s+J_s_hi)/2,J_s_hi),D_s))</f>
        <v>0.4</v>
      </c>
      <c r="H65" s="4">
        <f>IF(Top1Idx=6,CHOOSE(5,J_r_lo,(J_r_lo+D_r)/2,D_r,(D_r+J_r_hi)/2,J_r_hi),IF(Top2Idx=6,CHOOSE(3,J_r_lo,(J_r_lo+D_r)/2,D_r,(D_r+J_r_hi)/2,J_r_hi),D_r))</f>
        <v>3</v>
      </c>
      <c r="I65" s="6">
        <f>IF(Top1Idx=7,CHOOSE(5,J_c_lo,(J_c_lo+D_c)/2,D_c,(D_c+J_c_hi)/2,J_c_hi),IF(Top2Idx=7,CHOOSE(3,J_c_lo,(J_c_lo+D_c)/2,D_c,(D_c+J_c_hi)/2,J_c_hi),D_c))</f>
        <v>0.8</v>
      </c>
      <c r="J65" s="4">
        <f>IF(Top1Idx=8,CHOOSE(5,J_sysTok_lo,(J_sysTok_lo+D_sysTok)/2,D_sysTok,(D_sysTok+J_sysTok_hi)/2,J_sysTok_hi),IF(Top2Idx=8,CHOOSE(3,J_sysTok_lo,(J_sysTok_lo+D_sysTok)/2,D_sysTok,(D_sysTok+J_sysTok_hi)/2,J_sysTok_hi),D_sysTok))</f>
        <v>1500</v>
      </c>
      <c r="K65" s="6">
        <f>IF(Top1Idx=9,CHOOSE(5,J_realization_lo,(J_realization_lo+D_realization)/2,D_realization,(D_realization+J_realization_hi)/2,J_realization_hi),IF(Top2Idx=9,CHOOSE(3,J_realization_lo,(J_realization_lo+D_realization)/2,D_realization,(D_realization+J_realization_hi)/2,J_realization_hi),D_realization))</f>
        <v>1</v>
      </c>
      <c r="L65" s="4">
        <f t="shared" si="32"/>
        <v>5</v>
      </c>
      <c r="M65" s="4">
        <f t="shared" si="33"/>
        <v>20</v>
      </c>
      <c r="N65" s="6">
        <f>0</f>
        <v>0</v>
      </c>
      <c r="O65" s="25">
        <f t="shared" si="40"/>
        <v>12</v>
      </c>
      <c r="P65" s="25">
        <f t="shared" si="41"/>
        <v>960</v>
      </c>
      <c r="Q65" s="25">
        <f t="shared" si="42"/>
        <v>2880</v>
      </c>
      <c r="R65" s="25">
        <f t="shared" si="43"/>
        <v>21120</v>
      </c>
      <c r="S65" s="25">
        <f t="shared" si="44"/>
        <v>18000</v>
      </c>
      <c r="T65" s="30">
        <f t="shared" si="45"/>
        <v>10</v>
      </c>
      <c r="U65" s="30">
        <f t="shared" si="46"/>
        <v>0.3</v>
      </c>
      <c r="V65" s="30">
        <f t="shared" si="47"/>
        <v>20</v>
      </c>
      <c r="W65" s="30">
        <f t="shared" si="48"/>
        <v>0.6</v>
      </c>
      <c r="X65" s="30">
        <f t="shared" si="49"/>
        <v>0.06</v>
      </c>
      <c r="Y65" s="7">
        <f t="shared" si="50"/>
        <v>0.11753279999999999</v>
      </c>
      <c r="Z65" s="7">
        <f t="shared" si="51"/>
        <v>2.9383199999999998E-2</v>
      </c>
      <c r="AA65" s="25">
        <f t="shared" si="52"/>
        <v>8</v>
      </c>
      <c r="AB65" s="25">
        <f t="shared" si="53"/>
        <v>24</v>
      </c>
      <c r="AC65" s="25">
        <f t="shared" si="54"/>
        <v>80</v>
      </c>
      <c r="AD65" s="25">
        <f t="shared" si="55"/>
        <v>8</v>
      </c>
      <c r="AE65" s="25">
        <f t="shared" si="56"/>
        <v>20</v>
      </c>
      <c r="AF65" s="25">
        <f t="shared" si="57"/>
        <v>20</v>
      </c>
      <c r="AG65" s="25">
        <f t="shared" si="58"/>
        <v>14</v>
      </c>
      <c r="AH65" s="30">
        <f t="shared" si="59"/>
        <v>0.41136479999999997</v>
      </c>
      <c r="AI65" s="25">
        <f t="shared" si="60"/>
        <v>11340000</v>
      </c>
      <c r="AJ65" s="25">
        <f t="shared" si="61"/>
        <v>5670000</v>
      </c>
      <c r="AK65" s="33">
        <f t="shared" si="62"/>
        <v>6997315.2479999997</v>
      </c>
      <c r="AL65" s="33">
        <f t="shared" si="63"/>
        <v>0</v>
      </c>
      <c r="AM65" s="5">
        <f t="shared" si="64"/>
        <v>0.70434655641130894</v>
      </c>
    </row>
    <row r="66" spans="1:39" x14ac:dyDescent="0.45">
      <c r="A66" t="s">
        <v>502</v>
      </c>
      <c r="B66" t="s">
        <v>503</v>
      </c>
      <c r="C66" s="6">
        <f>IF(Top1Idx=1,CHOOSE(5,J_maxShare_lo,(J_maxShare_lo+D_maxShare)/2,D_maxShare,(D_maxShare+J_maxShare_hi)/2,J_maxShare_hi),IF(Top2Idx=1,CHOOSE(4,J_maxShare_lo,(J_maxShare_lo+D_maxShare)/2,D_maxShare,(D_maxShare+J_maxShare_hi)/2,J_maxShare_hi),D_maxShare))</f>
        <v>0.1</v>
      </c>
      <c r="D66" s="6">
        <f>IF(Top1Idx=2,CHOOSE(5,J_adoptSuper_lo,(J_adoptSuper_lo+D_adoptSuper)/2,D_adoptSuper,(D_adoptSuper+J_adoptSuper_hi)/2,J_adoptSuper_hi),IF(Top2Idx=2,CHOOSE(4,J_adoptSuper_lo,(J_adoptSuper_lo+D_adoptSuper)/2,D_adoptSuper,(D_adoptSuper+J_adoptSuper_hi)/2,J_adoptSuper_hi),D_adoptSuper))</f>
        <v>0.5</v>
      </c>
      <c r="E66" s="22">
        <f>IF(Top1Idx=3,CHOOSE(5,J_callsScale_lo,(J_callsScale_lo+D_callsScale)/2,D_callsScale,(D_callsScale+J_callsScale_hi)/2,J_callsScale_hi),IF(Top2Idx=3,CHOOSE(4,J_callsScale_lo,(J_callsScale_lo+D_callsScale)/2,D_callsScale,(D_callsScale+J_callsScale_hi)/2,J_callsScale_hi),D_callsScale))</f>
        <v>1</v>
      </c>
      <c r="F66" s="25">
        <f>IF(Top1Idx=4,CHOOSE(5,J_L_lo,(J_L_lo+D_L)/2,D_L,(D_L+J_L_hi)/2,J_L_hi),IF(Top2Idx=4,CHOOSE(4,J_L_lo,(J_L_lo+D_L)/2,D_L,(D_L+J_L_hi)/2,J_L_hi),D_L))</f>
        <v>4</v>
      </c>
      <c r="G66" s="6">
        <f>IF(Top1Idx=5,CHOOSE(5,J_s_lo,(J_s_lo+D_s)/2,D_s,(D_s+J_s_hi)/2,J_s_hi),IF(Top2Idx=5,CHOOSE(4,J_s_lo,(J_s_lo+D_s)/2,D_s,(D_s+J_s_hi)/2,J_s_hi),D_s))</f>
        <v>0.4</v>
      </c>
      <c r="H66" s="4">
        <f>IF(Top1Idx=6,CHOOSE(5,J_r_lo,(J_r_lo+D_r)/2,D_r,(D_r+J_r_hi)/2,J_r_hi),IF(Top2Idx=6,CHOOSE(4,J_r_lo,(J_r_lo+D_r)/2,D_r,(D_r+J_r_hi)/2,J_r_hi),D_r))</f>
        <v>3</v>
      </c>
      <c r="I66" s="6">
        <f>IF(Top1Idx=7,CHOOSE(5,J_c_lo,(J_c_lo+D_c)/2,D_c,(D_c+J_c_hi)/2,J_c_hi),IF(Top2Idx=7,CHOOSE(4,J_c_lo,(J_c_lo+D_c)/2,D_c,(D_c+J_c_hi)/2,J_c_hi),D_c))</f>
        <v>0.875</v>
      </c>
      <c r="J66" s="4">
        <f>IF(Top1Idx=8,CHOOSE(5,J_sysTok_lo,(J_sysTok_lo+D_sysTok)/2,D_sysTok,(D_sysTok+J_sysTok_hi)/2,J_sysTok_hi),IF(Top2Idx=8,CHOOSE(4,J_sysTok_lo,(J_sysTok_lo+D_sysTok)/2,D_sysTok,(D_sysTok+J_sysTok_hi)/2,J_sysTok_hi),D_sysTok))</f>
        <v>1500</v>
      </c>
      <c r="K66" s="6">
        <f>IF(Top1Idx=9,CHOOSE(5,J_realization_lo,(J_realization_lo+D_realization)/2,D_realization,(D_realization+J_realization_hi)/2,J_realization_hi),IF(Top2Idx=9,CHOOSE(4,J_realization_lo,(J_realization_lo+D_realization)/2,D_realization,(D_realization+J_realization_hi)/2,J_realization_hi),D_realization))</f>
        <v>1</v>
      </c>
      <c r="L66" s="4">
        <f t="shared" si="32"/>
        <v>5</v>
      </c>
      <c r="M66" s="4">
        <f t="shared" si="33"/>
        <v>20</v>
      </c>
      <c r="N66" s="6">
        <f>0</f>
        <v>0</v>
      </c>
      <c r="O66" s="25">
        <f t="shared" si="40"/>
        <v>12</v>
      </c>
      <c r="P66" s="25">
        <f t="shared" si="41"/>
        <v>960</v>
      </c>
      <c r="Q66" s="25">
        <f t="shared" si="42"/>
        <v>2880</v>
      </c>
      <c r="R66" s="25">
        <f t="shared" si="43"/>
        <v>21120</v>
      </c>
      <c r="S66" s="25">
        <f t="shared" si="44"/>
        <v>18000</v>
      </c>
      <c r="T66" s="30">
        <f t="shared" si="45"/>
        <v>10</v>
      </c>
      <c r="U66" s="30">
        <f t="shared" si="46"/>
        <v>0.3</v>
      </c>
      <c r="V66" s="30">
        <f t="shared" si="47"/>
        <v>20</v>
      </c>
      <c r="W66" s="30">
        <f t="shared" si="48"/>
        <v>0.6</v>
      </c>
      <c r="X66" s="30">
        <f t="shared" si="49"/>
        <v>0.06</v>
      </c>
      <c r="Y66" s="7">
        <f t="shared" si="50"/>
        <v>0.101439</v>
      </c>
      <c r="Z66" s="7">
        <f t="shared" si="51"/>
        <v>2.535975E-2</v>
      </c>
      <c r="AA66" s="25">
        <f t="shared" si="52"/>
        <v>8</v>
      </c>
      <c r="AB66" s="25">
        <f t="shared" si="53"/>
        <v>24</v>
      </c>
      <c r="AC66" s="25">
        <f t="shared" si="54"/>
        <v>80</v>
      </c>
      <c r="AD66" s="25">
        <f t="shared" si="55"/>
        <v>8</v>
      </c>
      <c r="AE66" s="25">
        <f t="shared" si="56"/>
        <v>20</v>
      </c>
      <c r="AF66" s="25">
        <f t="shared" si="57"/>
        <v>20</v>
      </c>
      <c r="AG66" s="25">
        <f t="shared" si="58"/>
        <v>14</v>
      </c>
      <c r="AH66" s="30">
        <f t="shared" si="59"/>
        <v>0.35503649999999998</v>
      </c>
      <c r="AI66" s="25">
        <f t="shared" si="60"/>
        <v>11340000</v>
      </c>
      <c r="AJ66" s="25">
        <f t="shared" si="61"/>
        <v>5670000</v>
      </c>
      <c r="AK66" s="33">
        <f t="shared" si="62"/>
        <v>6039170.8649999993</v>
      </c>
      <c r="AL66" s="33">
        <f t="shared" si="63"/>
        <v>0</v>
      </c>
      <c r="AM66" s="5">
        <f t="shared" si="64"/>
        <v>0.70755691506959462</v>
      </c>
    </row>
    <row r="67" spans="1:39" x14ac:dyDescent="0.45">
      <c r="A67" t="s">
        <v>504</v>
      </c>
      <c r="B67" t="s">
        <v>505</v>
      </c>
      <c r="C67" s="6">
        <f>IF(Top1Idx=1,CHOOSE(5,J_maxShare_lo,(J_maxShare_lo+D_maxShare)/2,D_maxShare,(D_maxShare+J_maxShare_hi)/2,J_maxShare_hi),IF(Top2Idx=1,CHOOSE(5,J_maxShare_lo,(J_maxShare_lo+D_maxShare)/2,D_maxShare,(D_maxShare+J_maxShare_hi)/2,J_maxShare_hi),D_maxShare))</f>
        <v>0.1</v>
      </c>
      <c r="D67" s="6">
        <f>IF(Top1Idx=2,CHOOSE(5,J_adoptSuper_lo,(J_adoptSuper_lo+D_adoptSuper)/2,D_adoptSuper,(D_adoptSuper+J_adoptSuper_hi)/2,J_adoptSuper_hi),IF(Top2Idx=2,CHOOSE(5,J_adoptSuper_lo,(J_adoptSuper_lo+D_adoptSuper)/2,D_adoptSuper,(D_adoptSuper+J_adoptSuper_hi)/2,J_adoptSuper_hi),D_adoptSuper))</f>
        <v>0.5</v>
      </c>
      <c r="E67" s="22">
        <f>IF(Top1Idx=3,CHOOSE(5,J_callsScale_lo,(J_callsScale_lo+D_callsScale)/2,D_callsScale,(D_callsScale+J_callsScale_hi)/2,J_callsScale_hi),IF(Top2Idx=3,CHOOSE(5,J_callsScale_lo,(J_callsScale_lo+D_callsScale)/2,D_callsScale,(D_callsScale+J_callsScale_hi)/2,J_callsScale_hi),D_callsScale))</f>
        <v>1</v>
      </c>
      <c r="F67" s="25">
        <f>IF(Top1Idx=4,CHOOSE(5,J_L_lo,(J_L_lo+D_L)/2,D_L,(D_L+J_L_hi)/2,J_L_hi),IF(Top2Idx=4,CHOOSE(5,J_L_lo,(J_L_lo+D_L)/2,D_L,(D_L+J_L_hi)/2,J_L_hi),D_L))</f>
        <v>4</v>
      </c>
      <c r="G67" s="6">
        <f>IF(Top1Idx=5,CHOOSE(5,J_s_lo,(J_s_lo+D_s)/2,D_s,(D_s+J_s_hi)/2,J_s_hi),IF(Top2Idx=5,CHOOSE(5,J_s_lo,(J_s_lo+D_s)/2,D_s,(D_s+J_s_hi)/2,J_s_hi),D_s))</f>
        <v>0.4</v>
      </c>
      <c r="H67" s="4">
        <f>IF(Top1Idx=6,CHOOSE(5,J_r_lo,(J_r_lo+D_r)/2,D_r,(D_r+J_r_hi)/2,J_r_hi),IF(Top2Idx=6,CHOOSE(5,J_r_lo,(J_r_lo+D_r)/2,D_r,(D_r+J_r_hi)/2,J_r_hi),D_r))</f>
        <v>3</v>
      </c>
      <c r="I67" s="6">
        <f>IF(Top1Idx=7,CHOOSE(5,J_c_lo,(J_c_lo+D_c)/2,D_c,(D_c+J_c_hi)/2,J_c_hi),IF(Top2Idx=7,CHOOSE(5,J_c_lo,(J_c_lo+D_c)/2,D_c,(D_c+J_c_hi)/2,J_c_hi),D_c))</f>
        <v>0.95</v>
      </c>
      <c r="J67" s="4">
        <f>IF(Top1Idx=8,CHOOSE(5,J_sysTok_lo,(J_sysTok_lo+D_sysTok)/2,D_sysTok,(D_sysTok+J_sysTok_hi)/2,J_sysTok_hi),IF(Top2Idx=8,CHOOSE(5,J_sysTok_lo,(J_sysTok_lo+D_sysTok)/2,D_sysTok,(D_sysTok+J_sysTok_hi)/2,J_sysTok_hi),D_sysTok))</f>
        <v>1500</v>
      </c>
      <c r="K67" s="6">
        <f>IF(Top1Idx=9,CHOOSE(5,J_realization_lo,(J_realization_lo+D_realization)/2,D_realization,(D_realization+J_realization_hi)/2,J_realization_hi),IF(Top2Idx=9,CHOOSE(5,J_realization_lo,(J_realization_lo+D_realization)/2,D_realization,(D_realization+J_realization_hi)/2,J_realization_hi),D_realization))</f>
        <v>1</v>
      </c>
      <c r="L67" s="4">
        <f t="shared" si="32"/>
        <v>5</v>
      </c>
      <c r="M67" s="4">
        <f t="shared" si="33"/>
        <v>20</v>
      </c>
      <c r="N67" s="6">
        <f>0</f>
        <v>0</v>
      </c>
      <c r="O67" s="25">
        <f t="shared" si="40"/>
        <v>12</v>
      </c>
      <c r="P67" s="25">
        <f t="shared" si="41"/>
        <v>960</v>
      </c>
      <c r="Q67" s="25">
        <f t="shared" si="42"/>
        <v>2880</v>
      </c>
      <c r="R67" s="25">
        <f t="shared" si="43"/>
        <v>21120</v>
      </c>
      <c r="S67" s="25">
        <f t="shared" si="44"/>
        <v>18000</v>
      </c>
      <c r="T67" s="30">
        <f t="shared" si="45"/>
        <v>10</v>
      </c>
      <c r="U67" s="30">
        <f t="shared" si="46"/>
        <v>0.3</v>
      </c>
      <c r="V67" s="30">
        <f t="shared" si="47"/>
        <v>20</v>
      </c>
      <c r="W67" s="30">
        <f t="shared" si="48"/>
        <v>0.6</v>
      </c>
      <c r="X67" s="30">
        <f t="shared" si="49"/>
        <v>0.06</v>
      </c>
      <c r="Y67" s="7">
        <f t="shared" si="50"/>
        <v>8.534520000000001E-2</v>
      </c>
      <c r="Z67" s="7">
        <f t="shared" si="51"/>
        <v>2.1336300000000002E-2</v>
      </c>
      <c r="AA67" s="25">
        <f t="shared" si="52"/>
        <v>8</v>
      </c>
      <c r="AB67" s="25">
        <f t="shared" si="53"/>
        <v>24</v>
      </c>
      <c r="AC67" s="25">
        <f t="shared" si="54"/>
        <v>80</v>
      </c>
      <c r="AD67" s="25">
        <f t="shared" si="55"/>
        <v>8</v>
      </c>
      <c r="AE67" s="25">
        <f t="shared" si="56"/>
        <v>20</v>
      </c>
      <c r="AF67" s="25">
        <f t="shared" si="57"/>
        <v>20</v>
      </c>
      <c r="AG67" s="25">
        <f t="shared" si="58"/>
        <v>14</v>
      </c>
      <c r="AH67" s="30">
        <f t="shared" si="59"/>
        <v>0.29870820000000003</v>
      </c>
      <c r="AI67" s="25">
        <f t="shared" si="60"/>
        <v>11340000</v>
      </c>
      <c r="AJ67" s="25">
        <f t="shared" si="61"/>
        <v>5670000</v>
      </c>
      <c r="AK67" s="33">
        <f t="shared" si="62"/>
        <v>5081026.4820000008</v>
      </c>
      <c r="AL67" s="33">
        <f t="shared" si="63"/>
        <v>0</v>
      </c>
      <c r="AM67" s="5">
        <f t="shared" si="64"/>
        <v>0.71076727372788029</v>
      </c>
    </row>
    <row r="68" spans="1:39" x14ac:dyDescent="0.45">
      <c r="A68" t="s">
        <v>506</v>
      </c>
      <c r="B68" t="s">
        <v>507</v>
      </c>
      <c r="C68" s="6">
        <f t="shared" ref="C68:C99" si="65">D_maxShare</f>
        <v>0.1</v>
      </c>
      <c r="D68" s="6">
        <f t="shared" ref="D68:D99" si="66">D_adoptSuper</f>
        <v>0.3</v>
      </c>
      <c r="E68" s="22">
        <f t="shared" ref="E68:E99" si="67">D_callsScale</f>
        <v>1</v>
      </c>
      <c r="F68" s="25">
        <f t="shared" ref="F68:F99" si="68">D_L</f>
        <v>4</v>
      </c>
      <c r="G68" s="6">
        <f t="shared" ref="G68:G99" si="69">D_s</f>
        <v>0.4</v>
      </c>
      <c r="H68" s="4">
        <f t="shared" ref="H68:H99" si="70">D_r</f>
        <v>3</v>
      </c>
      <c r="I68" s="6">
        <f t="shared" ref="I68:I99" si="71">D_c</f>
        <v>0.8</v>
      </c>
      <c r="J68" s="4">
        <f t="shared" ref="J68:J99" si="72">D_sysTok</f>
        <v>1500</v>
      </c>
      <c r="K68" s="6">
        <f t="shared" ref="K68:K99" si="73">D_realization</f>
        <v>1</v>
      </c>
      <c r="L68" s="4">
        <f t="shared" si="32"/>
        <v>5</v>
      </c>
      <c r="M68" s="4">
        <f>0</f>
        <v>0</v>
      </c>
      <c r="N68" s="6">
        <f>0</f>
        <v>0</v>
      </c>
      <c r="O68" s="25">
        <f t="shared" si="40"/>
        <v>12</v>
      </c>
      <c r="P68" s="25">
        <f t="shared" si="41"/>
        <v>960</v>
      </c>
      <c r="Q68" s="25">
        <f t="shared" si="42"/>
        <v>2880</v>
      </c>
      <c r="R68" s="25">
        <f t="shared" si="43"/>
        <v>21120</v>
      </c>
      <c r="S68" s="25">
        <f t="shared" si="44"/>
        <v>18000</v>
      </c>
      <c r="T68" s="30">
        <f t="shared" si="45"/>
        <v>10</v>
      </c>
      <c r="U68" s="30">
        <f t="shared" si="46"/>
        <v>0.3</v>
      </c>
      <c r="V68" s="30">
        <f t="shared" si="47"/>
        <v>20</v>
      </c>
      <c r="W68" s="30">
        <f t="shared" si="48"/>
        <v>0.6</v>
      </c>
      <c r="X68" s="30">
        <f t="shared" si="49"/>
        <v>0.06</v>
      </c>
      <c r="Y68" s="7">
        <f t="shared" si="50"/>
        <v>0.11753279999999999</v>
      </c>
      <c r="Z68" s="7">
        <f t="shared" si="51"/>
        <v>2.9383199999999998E-2</v>
      </c>
      <c r="AA68" s="25">
        <f t="shared" si="52"/>
        <v>8</v>
      </c>
      <c r="AB68" s="25">
        <f t="shared" si="53"/>
        <v>24</v>
      </c>
      <c r="AC68" s="25">
        <f t="shared" si="54"/>
        <v>80</v>
      </c>
      <c r="AD68" s="25">
        <f t="shared" si="55"/>
        <v>0</v>
      </c>
      <c r="AE68" s="25">
        <f t="shared" si="56"/>
        <v>0</v>
      </c>
      <c r="AF68" s="25">
        <f t="shared" si="57"/>
        <v>0</v>
      </c>
      <c r="AG68" s="25">
        <f t="shared" si="58"/>
        <v>0</v>
      </c>
      <c r="AH68" s="30">
        <f t="shared" si="59"/>
        <v>0</v>
      </c>
      <c r="AI68" s="25">
        <f t="shared" si="60"/>
        <v>11340000</v>
      </c>
      <c r="AJ68" s="25">
        <f t="shared" si="61"/>
        <v>3402000</v>
      </c>
      <c r="AK68" s="33">
        <f t="shared" si="62"/>
        <v>0</v>
      </c>
      <c r="AL68" s="33">
        <f t="shared" si="63"/>
        <v>0</v>
      </c>
      <c r="AM68" s="5">
        <f t="shared" si="64"/>
        <v>0.72779176152834535</v>
      </c>
    </row>
    <row r="69" spans="1:39" x14ac:dyDescent="0.45">
      <c r="A69" t="s">
        <v>508</v>
      </c>
      <c r="B69" t="s">
        <v>509</v>
      </c>
      <c r="C69" s="6">
        <f t="shared" si="65"/>
        <v>0.1</v>
      </c>
      <c r="D69" s="6">
        <f t="shared" si="66"/>
        <v>0.3</v>
      </c>
      <c r="E69" s="22">
        <f t="shared" si="67"/>
        <v>1</v>
      </c>
      <c r="F69" s="25">
        <f t="shared" si="68"/>
        <v>4</v>
      </c>
      <c r="G69" s="6">
        <f t="shared" si="69"/>
        <v>0.4</v>
      </c>
      <c r="H69" s="4">
        <f t="shared" si="70"/>
        <v>3</v>
      </c>
      <c r="I69" s="6">
        <f t="shared" si="71"/>
        <v>0.8</v>
      </c>
      <c r="J69" s="4">
        <f t="shared" si="72"/>
        <v>1500</v>
      </c>
      <c r="K69" s="6">
        <f t="shared" si="73"/>
        <v>1</v>
      </c>
      <c r="L69" s="4">
        <f>IdxFlag</f>
        <v>6</v>
      </c>
      <c r="M69" s="4">
        <f>0</f>
        <v>0</v>
      </c>
      <c r="N69" s="6">
        <f>0</f>
        <v>0</v>
      </c>
      <c r="O69" s="25">
        <f t="shared" ref="O69:O100" si="74">H69*F69</f>
        <v>12</v>
      </c>
      <c r="P69" s="25">
        <f t="shared" ref="P69:P100" si="75">F69*G69*TokIn</f>
        <v>960</v>
      </c>
      <c r="Q69" s="25">
        <f t="shared" ref="Q69:Q100" si="76">F69*(1-G69)*TokOut</f>
        <v>2880</v>
      </c>
      <c r="R69" s="25">
        <f t="shared" ref="R69:R100" si="77">(G69*TokIn+(1-G69)*TokOut)*F69*(O69-1)/2</f>
        <v>21120</v>
      </c>
      <c r="S69" s="25">
        <f t="shared" ref="S69:S100" si="78">O69*J69</f>
        <v>18000</v>
      </c>
      <c r="T69" s="30">
        <f t="shared" ref="T69:T100" si="79">INDEX(ListAudioIn,L69)</f>
        <v>32</v>
      </c>
      <c r="U69" s="30">
        <f t="shared" ref="U69:U100" si="80">INDEX(ListAudioCached,L69)</f>
        <v>0.4</v>
      </c>
      <c r="V69" s="30">
        <f t="shared" ref="V69:V100" si="81">INDEX(ListAudioOut,L69)</f>
        <v>64</v>
      </c>
      <c r="W69" s="30">
        <f t="shared" ref="W69:W100" si="82">INDEX(ListTextIn,L69)</f>
        <v>4</v>
      </c>
      <c r="X69" s="30">
        <f t="shared" ref="X69:X100" si="83">INDEX(ListTextCached,L69)</f>
        <v>0.4</v>
      </c>
      <c r="Y69" s="7">
        <f t="shared" ref="Y69:Y100" si="84">K69*(P69*T69+Q69*V69+R69*(I69*U69+(1-I69)*T69)+S69*(I69*X69+(1-I69)*W69))/1000000</f>
        <v>0.37712639999999997</v>
      </c>
      <c r="Z69" s="7">
        <f t="shared" ref="Z69:Z100" si="85">Y69/F69</f>
        <v>9.4281599999999993E-2</v>
      </c>
      <c r="AA69" s="25">
        <f t="shared" ref="AA69:AA100" si="86">T_calls1*E69*F69</f>
        <v>8</v>
      </c>
      <c r="AB69" s="25">
        <f t="shared" ref="AB69:AB100" si="87">T_calls2*E69*F69</f>
        <v>24</v>
      </c>
      <c r="AC69" s="25">
        <f t="shared" ref="AC69:AC100" si="88">T_calls3*E69*F69</f>
        <v>80</v>
      </c>
      <c r="AD69" s="25">
        <f t="shared" ref="AD69:AD100" si="89">MIN(AA69,M69)</f>
        <v>0</v>
      </c>
      <c r="AE69" s="25">
        <f t="shared" ref="AE69:AE100" si="90">MIN(AB69,M69)</f>
        <v>0</v>
      </c>
      <c r="AF69" s="25">
        <f t="shared" ref="AF69:AF100" si="91">MIN(AC69,M69)</f>
        <v>0</v>
      </c>
      <c r="AG69" s="25">
        <f t="shared" ref="AG69:AG100" si="92">T_share1*AD69+T_share2*AE69+T_share3*AF69</f>
        <v>0</v>
      </c>
      <c r="AH69" s="30">
        <f t="shared" ref="AH69:AH100" si="93">AG69*Z69</f>
        <v>0</v>
      </c>
      <c r="AI69" s="25">
        <f t="shared" ref="AI69:AI100" si="94">PaidAvg*(1-C69)</f>
        <v>11340000</v>
      </c>
      <c r="AJ69" s="25">
        <f t="shared" ref="AJ69:AJ100" si="95">AI69*D69</f>
        <v>3402000</v>
      </c>
      <c r="AK69" s="33">
        <f t="shared" ref="AK69:AK100" si="96">AJ69*AH69*3</f>
        <v>0</v>
      </c>
      <c r="AL69" s="33">
        <f t="shared" ref="AL69:AL100" si="97">N69*ARPU*AI69*3</f>
        <v>0</v>
      </c>
      <c r="AM69" s="5">
        <f t="shared" ref="AM69:AM100" si="98">GMb-AK69/(Rev+AL69)</f>
        <v>0.72779176152834535</v>
      </c>
    </row>
    <row r="70" spans="1:39" x14ac:dyDescent="0.45">
      <c r="A70" t="s">
        <v>510</v>
      </c>
      <c r="B70" t="s">
        <v>511</v>
      </c>
      <c r="C70" s="6">
        <f t="shared" si="65"/>
        <v>0.1</v>
      </c>
      <c r="D70" s="6">
        <f t="shared" si="66"/>
        <v>0.3</v>
      </c>
      <c r="E70" s="22">
        <f t="shared" si="67"/>
        <v>1</v>
      </c>
      <c r="F70" s="25">
        <f t="shared" si="68"/>
        <v>4</v>
      </c>
      <c r="G70" s="6">
        <f t="shared" si="69"/>
        <v>0.4</v>
      </c>
      <c r="H70" s="4">
        <f t="shared" si="70"/>
        <v>3</v>
      </c>
      <c r="I70" s="6">
        <f t="shared" si="71"/>
        <v>0.8</v>
      </c>
      <c r="J70" s="4">
        <f t="shared" si="72"/>
        <v>1500</v>
      </c>
      <c r="K70" s="6">
        <f t="shared" si="73"/>
        <v>1</v>
      </c>
      <c r="L70" s="4">
        <f>IdxMini</f>
        <v>5</v>
      </c>
      <c r="M70" s="4">
        <f>5</f>
        <v>5</v>
      </c>
      <c r="N70" s="6">
        <f>0</f>
        <v>0</v>
      </c>
      <c r="O70" s="25">
        <f t="shared" si="74"/>
        <v>12</v>
      </c>
      <c r="P70" s="25">
        <f t="shared" si="75"/>
        <v>960</v>
      </c>
      <c r="Q70" s="25">
        <f t="shared" si="76"/>
        <v>2880</v>
      </c>
      <c r="R70" s="25">
        <f t="shared" si="77"/>
        <v>21120</v>
      </c>
      <c r="S70" s="25">
        <f t="shared" si="78"/>
        <v>18000</v>
      </c>
      <c r="T70" s="30">
        <f t="shared" si="79"/>
        <v>10</v>
      </c>
      <c r="U70" s="30">
        <f t="shared" si="80"/>
        <v>0.3</v>
      </c>
      <c r="V70" s="30">
        <f t="shared" si="81"/>
        <v>20</v>
      </c>
      <c r="W70" s="30">
        <f t="shared" si="82"/>
        <v>0.6</v>
      </c>
      <c r="X70" s="30">
        <f t="shared" si="83"/>
        <v>0.06</v>
      </c>
      <c r="Y70" s="7">
        <f t="shared" si="84"/>
        <v>0.11753279999999999</v>
      </c>
      <c r="Z70" s="7">
        <f t="shared" si="85"/>
        <v>2.9383199999999998E-2</v>
      </c>
      <c r="AA70" s="25">
        <f t="shared" si="86"/>
        <v>8</v>
      </c>
      <c r="AB70" s="25">
        <f t="shared" si="87"/>
        <v>24</v>
      </c>
      <c r="AC70" s="25">
        <f t="shared" si="88"/>
        <v>80</v>
      </c>
      <c r="AD70" s="25">
        <f t="shared" si="89"/>
        <v>5</v>
      </c>
      <c r="AE70" s="25">
        <f t="shared" si="90"/>
        <v>5</v>
      </c>
      <c r="AF70" s="25">
        <f t="shared" si="91"/>
        <v>5</v>
      </c>
      <c r="AG70" s="25">
        <f t="shared" si="92"/>
        <v>5</v>
      </c>
      <c r="AH70" s="30">
        <f t="shared" si="93"/>
        <v>0.14691599999999999</v>
      </c>
      <c r="AI70" s="25">
        <f t="shared" si="94"/>
        <v>11340000</v>
      </c>
      <c r="AJ70" s="25">
        <f t="shared" si="95"/>
        <v>3402000</v>
      </c>
      <c r="AK70" s="33">
        <f t="shared" si="96"/>
        <v>1499424.696</v>
      </c>
      <c r="AL70" s="33">
        <f t="shared" si="97"/>
        <v>0</v>
      </c>
      <c r="AM70" s="5">
        <f t="shared" si="98"/>
        <v>0.7227677890032661</v>
      </c>
    </row>
    <row r="71" spans="1:39" x14ac:dyDescent="0.45">
      <c r="A71" t="s">
        <v>512</v>
      </c>
      <c r="B71" t="s">
        <v>513</v>
      </c>
      <c r="C71" s="6">
        <f t="shared" si="65"/>
        <v>0.1</v>
      </c>
      <c r="D71" s="6">
        <f t="shared" si="66"/>
        <v>0.3</v>
      </c>
      <c r="E71" s="22">
        <f t="shared" si="67"/>
        <v>1</v>
      </c>
      <c r="F71" s="25">
        <f t="shared" si="68"/>
        <v>4</v>
      </c>
      <c r="G71" s="6">
        <f t="shared" si="69"/>
        <v>0.4</v>
      </c>
      <c r="H71" s="4">
        <f t="shared" si="70"/>
        <v>3</v>
      </c>
      <c r="I71" s="6">
        <f t="shared" si="71"/>
        <v>0.8</v>
      </c>
      <c r="J71" s="4">
        <f t="shared" si="72"/>
        <v>1500</v>
      </c>
      <c r="K71" s="6">
        <f t="shared" si="73"/>
        <v>1</v>
      </c>
      <c r="L71" s="4">
        <f>IdxFlag</f>
        <v>6</v>
      </c>
      <c r="M71" s="4">
        <f>5</f>
        <v>5</v>
      </c>
      <c r="N71" s="6">
        <f>0</f>
        <v>0</v>
      </c>
      <c r="O71" s="25">
        <f t="shared" si="74"/>
        <v>12</v>
      </c>
      <c r="P71" s="25">
        <f t="shared" si="75"/>
        <v>960</v>
      </c>
      <c r="Q71" s="25">
        <f t="shared" si="76"/>
        <v>2880</v>
      </c>
      <c r="R71" s="25">
        <f t="shared" si="77"/>
        <v>21120</v>
      </c>
      <c r="S71" s="25">
        <f t="shared" si="78"/>
        <v>18000</v>
      </c>
      <c r="T71" s="30">
        <f t="shared" si="79"/>
        <v>32</v>
      </c>
      <c r="U71" s="30">
        <f t="shared" si="80"/>
        <v>0.4</v>
      </c>
      <c r="V71" s="30">
        <f t="shared" si="81"/>
        <v>64</v>
      </c>
      <c r="W71" s="30">
        <f t="shared" si="82"/>
        <v>4</v>
      </c>
      <c r="X71" s="30">
        <f t="shared" si="83"/>
        <v>0.4</v>
      </c>
      <c r="Y71" s="7">
        <f t="shared" si="84"/>
        <v>0.37712639999999997</v>
      </c>
      <c r="Z71" s="7">
        <f t="shared" si="85"/>
        <v>9.4281599999999993E-2</v>
      </c>
      <c r="AA71" s="25">
        <f t="shared" si="86"/>
        <v>8</v>
      </c>
      <c r="AB71" s="25">
        <f t="shared" si="87"/>
        <v>24</v>
      </c>
      <c r="AC71" s="25">
        <f t="shared" si="88"/>
        <v>80</v>
      </c>
      <c r="AD71" s="25">
        <f t="shared" si="89"/>
        <v>5</v>
      </c>
      <c r="AE71" s="25">
        <f t="shared" si="90"/>
        <v>5</v>
      </c>
      <c r="AF71" s="25">
        <f t="shared" si="91"/>
        <v>5</v>
      </c>
      <c r="AG71" s="25">
        <f t="shared" si="92"/>
        <v>5</v>
      </c>
      <c r="AH71" s="30">
        <f t="shared" si="93"/>
        <v>0.47140799999999994</v>
      </c>
      <c r="AI71" s="25">
        <f t="shared" si="94"/>
        <v>11340000</v>
      </c>
      <c r="AJ71" s="25">
        <f t="shared" si="95"/>
        <v>3402000</v>
      </c>
      <c r="AK71" s="33">
        <f t="shared" si="96"/>
        <v>4811190.0479999995</v>
      </c>
      <c r="AL71" s="33">
        <f t="shared" si="97"/>
        <v>0</v>
      </c>
      <c r="AM71" s="5">
        <f t="shared" si="98"/>
        <v>0.71167138770859428</v>
      </c>
    </row>
    <row r="72" spans="1:39" x14ac:dyDescent="0.45">
      <c r="A72" t="s">
        <v>514</v>
      </c>
      <c r="B72" t="s">
        <v>515</v>
      </c>
      <c r="C72" s="6">
        <f t="shared" si="65"/>
        <v>0.1</v>
      </c>
      <c r="D72" s="6">
        <f t="shared" si="66"/>
        <v>0.3</v>
      </c>
      <c r="E72" s="22">
        <f t="shared" si="67"/>
        <v>1</v>
      </c>
      <c r="F72" s="25">
        <f t="shared" si="68"/>
        <v>4</v>
      </c>
      <c r="G72" s="6">
        <f t="shared" si="69"/>
        <v>0.4</v>
      </c>
      <c r="H72" s="4">
        <f t="shared" si="70"/>
        <v>3</v>
      </c>
      <c r="I72" s="6">
        <f t="shared" si="71"/>
        <v>0.8</v>
      </c>
      <c r="J72" s="4">
        <f t="shared" si="72"/>
        <v>1500</v>
      </c>
      <c r="K72" s="6">
        <f t="shared" si="73"/>
        <v>1</v>
      </c>
      <c r="L72" s="4">
        <f>IdxMini</f>
        <v>5</v>
      </c>
      <c r="M72" s="4">
        <f>10</f>
        <v>10</v>
      </c>
      <c r="N72" s="6">
        <f>0</f>
        <v>0</v>
      </c>
      <c r="O72" s="25">
        <f t="shared" si="74"/>
        <v>12</v>
      </c>
      <c r="P72" s="25">
        <f t="shared" si="75"/>
        <v>960</v>
      </c>
      <c r="Q72" s="25">
        <f t="shared" si="76"/>
        <v>2880</v>
      </c>
      <c r="R72" s="25">
        <f t="shared" si="77"/>
        <v>21120</v>
      </c>
      <c r="S72" s="25">
        <f t="shared" si="78"/>
        <v>18000</v>
      </c>
      <c r="T72" s="30">
        <f t="shared" si="79"/>
        <v>10</v>
      </c>
      <c r="U72" s="30">
        <f t="shared" si="80"/>
        <v>0.3</v>
      </c>
      <c r="V72" s="30">
        <f t="shared" si="81"/>
        <v>20</v>
      </c>
      <c r="W72" s="30">
        <f t="shared" si="82"/>
        <v>0.6</v>
      </c>
      <c r="X72" s="30">
        <f t="shared" si="83"/>
        <v>0.06</v>
      </c>
      <c r="Y72" s="7">
        <f t="shared" si="84"/>
        <v>0.11753279999999999</v>
      </c>
      <c r="Z72" s="7">
        <f t="shared" si="85"/>
        <v>2.9383199999999998E-2</v>
      </c>
      <c r="AA72" s="25">
        <f t="shared" si="86"/>
        <v>8</v>
      </c>
      <c r="AB72" s="25">
        <f t="shared" si="87"/>
        <v>24</v>
      </c>
      <c r="AC72" s="25">
        <f t="shared" si="88"/>
        <v>80</v>
      </c>
      <c r="AD72" s="25">
        <f t="shared" si="89"/>
        <v>8</v>
      </c>
      <c r="AE72" s="25">
        <f t="shared" si="90"/>
        <v>10</v>
      </c>
      <c r="AF72" s="25">
        <f t="shared" si="91"/>
        <v>10</v>
      </c>
      <c r="AG72" s="25">
        <f t="shared" si="92"/>
        <v>9</v>
      </c>
      <c r="AH72" s="30">
        <f t="shared" si="93"/>
        <v>0.26444879999999998</v>
      </c>
      <c r="AI72" s="25">
        <f t="shared" si="94"/>
        <v>11340000</v>
      </c>
      <c r="AJ72" s="25">
        <f t="shared" si="95"/>
        <v>3402000</v>
      </c>
      <c r="AK72" s="33">
        <f t="shared" si="96"/>
        <v>2698964.4528000001</v>
      </c>
      <c r="AL72" s="33">
        <f t="shared" si="97"/>
        <v>0</v>
      </c>
      <c r="AM72" s="5">
        <f t="shared" si="98"/>
        <v>0.71874861098320275</v>
      </c>
    </row>
    <row r="73" spans="1:39" x14ac:dyDescent="0.45">
      <c r="A73" t="s">
        <v>516</v>
      </c>
      <c r="B73" t="s">
        <v>517</v>
      </c>
      <c r="C73" s="6">
        <f t="shared" si="65"/>
        <v>0.1</v>
      </c>
      <c r="D73" s="6">
        <f t="shared" si="66"/>
        <v>0.3</v>
      </c>
      <c r="E73" s="22">
        <f t="shared" si="67"/>
        <v>1</v>
      </c>
      <c r="F73" s="25">
        <f t="shared" si="68"/>
        <v>4</v>
      </c>
      <c r="G73" s="6">
        <f t="shared" si="69"/>
        <v>0.4</v>
      </c>
      <c r="H73" s="4">
        <f t="shared" si="70"/>
        <v>3</v>
      </c>
      <c r="I73" s="6">
        <f t="shared" si="71"/>
        <v>0.8</v>
      </c>
      <c r="J73" s="4">
        <f t="shared" si="72"/>
        <v>1500</v>
      </c>
      <c r="K73" s="6">
        <f t="shared" si="73"/>
        <v>1</v>
      </c>
      <c r="L73" s="4">
        <f>IdxFlag</f>
        <v>6</v>
      </c>
      <c r="M73" s="4">
        <f>10</f>
        <v>10</v>
      </c>
      <c r="N73" s="6">
        <f>0</f>
        <v>0</v>
      </c>
      <c r="O73" s="25">
        <f t="shared" si="74"/>
        <v>12</v>
      </c>
      <c r="P73" s="25">
        <f t="shared" si="75"/>
        <v>960</v>
      </c>
      <c r="Q73" s="25">
        <f t="shared" si="76"/>
        <v>2880</v>
      </c>
      <c r="R73" s="25">
        <f t="shared" si="77"/>
        <v>21120</v>
      </c>
      <c r="S73" s="25">
        <f t="shared" si="78"/>
        <v>18000</v>
      </c>
      <c r="T73" s="30">
        <f t="shared" si="79"/>
        <v>32</v>
      </c>
      <c r="U73" s="30">
        <f t="shared" si="80"/>
        <v>0.4</v>
      </c>
      <c r="V73" s="30">
        <f t="shared" si="81"/>
        <v>64</v>
      </c>
      <c r="W73" s="30">
        <f t="shared" si="82"/>
        <v>4</v>
      </c>
      <c r="X73" s="30">
        <f t="shared" si="83"/>
        <v>0.4</v>
      </c>
      <c r="Y73" s="7">
        <f t="shared" si="84"/>
        <v>0.37712639999999997</v>
      </c>
      <c r="Z73" s="7">
        <f t="shared" si="85"/>
        <v>9.4281599999999993E-2</v>
      </c>
      <c r="AA73" s="25">
        <f t="shared" si="86"/>
        <v>8</v>
      </c>
      <c r="AB73" s="25">
        <f t="shared" si="87"/>
        <v>24</v>
      </c>
      <c r="AC73" s="25">
        <f t="shared" si="88"/>
        <v>80</v>
      </c>
      <c r="AD73" s="25">
        <f t="shared" si="89"/>
        <v>8</v>
      </c>
      <c r="AE73" s="25">
        <f t="shared" si="90"/>
        <v>10</v>
      </c>
      <c r="AF73" s="25">
        <f t="shared" si="91"/>
        <v>10</v>
      </c>
      <c r="AG73" s="25">
        <f t="shared" si="92"/>
        <v>9</v>
      </c>
      <c r="AH73" s="30">
        <f t="shared" si="93"/>
        <v>0.84853439999999991</v>
      </c>
      <c r="AI73" s="25">
        <f t="shared" si="94"/>
        <v>11340000</v>
      </c>
      <c r="AJ73" s="25">
        <f t="shared" si="95"/>
        <v>3402000</v>
      </c>
      <c r="AK73" s="33">
        <f t="shared" si="96"/>
        <v>8660142.0863999985</v>
      </c>
      <c r="AL73" s="33">
        <f t="shared" si="97"/>
        <v>0</v>
      </c>
      <c r="AM73" s="5">
        <f t="shared" si="98"/>
        <v>0.69877508865279336</v>
      </c>
    </row>
    <row r="74" spans="1:39" x14ac:dyDescent="0.45">
      <c r="A74" t="s">
        <v>518</v>
      </c>
      <c r="B74" t="s">
        <v>519</v>
      </c>
      <c r="C74" s="6">
        <f t="shared" si="65"/>
        <v>0.1</v>
      </c>
      <c r="D74" s="6">
        <f t="shared" si="66"/>
        <v>0.3</v>
      </c>
      <c r="E74" s="22">
        <f t="shared" si="67"/>
        <v>1</v>
      </c>
      <c r="F74" s="25">
        <f t="shared" si="68"/>
        <v>4</v>
      </c>
      <c r="G74" s="6">
        <f t="shared" si="69"/>
        <v>0.4</v>
      </c>
      <c r="H74" s="4">
        <f t="shared" si="70"/>
        <v>3</v>
      </c>
      <c r="I74" s="6">
        <f t="shared" si="71"/>
        <v>0.8</v>
      </c>
      <c r="J74" s="4">
        <f t="shared" si="72"/>
        <v>1500</v>
      </c>
      <c r="K74" s="6">
        <f t="shared" si="73"/>
        <v>1</v>
      </c>
      <c r="L74" s="4">
        <f>IdxMini</f>
        <v>5</v>
      </c>
      <c r="M74" s="4">
        <f>15</f>
        <v>15</v>
      </c>
      <c r="N74" s="6">
        <f>0</f>
        <v>0</v>
      </c>
      <c r="O74" s="25">
        <f t="shared" si="74"/>
        <v>12</v>
      </c>
      <c r="P74" s="25">
        <f t="shared" si="75"/>
        <v>960</v>
      </c>
      <c r="Q74" s="25">
        <f t="shared" si="76"/>
        <v>2880</v>
      </c>
      <c r="R74" s="25">
        <f t="shared" si="77"/>
        <v>21120</v>
      </c>
      <c r="S74" s="25">
        <f t="shared" si="78"/>
        <v>18000</v>
      </c>
      <c r="T74" s="30">
        <f t="shared" si="79"/>
        <v>10</v>
      </c>
      <c r="U74" s="30">
        <f t="shared" si="80"/>
        <v>0.3</v>
      </c>
      <c r="V74" s="30">
        <f t="shared" si="81"/>
        <v>20</v>
      </c>
      <c r="W74" s="30">
        <f t="shared" si="82"/>
        <v>0.6</v>
      </c>
      <c r="X74" s="30">
        <f t="shared" si="83"/>
        <v>0.06</v>
      </c>
      <c r="Y74" s="7">
        <f t="shared" si="84"/>
        <v>0.11753279999999999</v>
      </c>
      <c r="Z74" s="7">
        <f t="shared" si="85"/>
        <v>2.9383199999999998E-2</v>
      </c>
      <c r="AA74" s="25">
        <f t="shared" si="86"/>
        <v>8</v>
      </c>
      <c r="AB74" s="25">
        <f t="shared" si="87"/>
        <v>24</v>
      </c>
      <c r="AC74" s="25">
        <f t="shared" si="88"/>
        <v>80</v>
      </c>
      <c r="AD74" s="25">
        <f t="shared" si="89"/>
        <v>8</v>
      </c>
      <c r="AE74" s="25">
        <f t="shared" si="90"/>
        <v>15</v>
      </c>
      <c r="AF74" s="25">
        <f t="shared" si="91"/>
        <v>15</v>
      </c>
      <c r="AG74" s="25">
        <f t="shared" si="92"/>
        <v>11.5</v>
      </c>
      <c r="AH74" s="30">
        <f t="shared" si="93"/>
        <v>0.33790679999999995</v>
      </c>
      <c r="AI74" s="25">
        <f t="shared" si="94"/>
        <v>11340000</v>
      </c>
      <c r="AJ74" s="25">
        <f t="shared" si="95"/>
        <v>3402000</v>
      </c>
      <c r="AK74" s="33">
        <f t="shared" si="96"/>
        <v>3448676.8007999994</v>
      </c>
      <c r="AL74" s="33">
        <f t="shared" si="97"/>
        <v>0</v>
      </c>
      <c r="AM74" s="5">
        <f t="shared" si="98"/>
        <v>0.71623662472066307</v>
      </c>
    </row>
    <row r="75" spans="1:39" x14ac:dyDescent="0.45">
      <c r="A75" t="s">
        <v>520</v>
      </c>
      <c r="B75" t="s">
        <v>521</v>
      </c>
      <c r="C75" s="6">
        <f t="shared" si="65"/>
        <v>0.1</v>
      </c>
      <c r="D75" s="6">
        <f t="shared" si="66"/>
        <v>0.3</v>
      </c>
      <c r="E75" s="22">
        <f t="shared" si="67"/>
        <v>1</v>
      </c>
      <c r="F75" s="25">
        <f t="shared" si="68"/>
        <v>4</v>
      </c>
      <c r="G75" s="6">
        <f t="shared" si="69"/>
        <v>0.4</v>
      </c>
      <c r="H75" s="4">
        <f t="shared" si="70"/>
        <v>3</v>
      </c>
      <c r="I75" s="6">
        <f t="shared" si="71"/>
        <v>0.8</v>
      </c>
      <c r="J75" s="4">
        <f t="shared" si="72"/>
        <v>1500</v>
      </c>
      <c r="K75" s="6">
        <f t="shared" si="73"/>
        <v>1</v>
      </c>
      <c r="L75" s="4">
        <f>IdxFlag</f>
        <v>6</v>
      </c>
      <c r="M75" s="4">
        <f>15</f>
        <v>15</v>
      </c>
      <c r="N75" s="6">
        <f>0</f>
        <v>0</v>
      </c>
      <c r="O75" s="25">
        <f t="shared" si="74"/>
        <v>12</v>
      </c>
      <c r="P75" s="25">
        <f t="shared" si="75"/>
        <v>960</v>
      </c>
      <c r="Q75" s="25">
        <f t="shared" si="76"/>
        <v>2880</v>
      </c>
      <c r="R75" s="25">
        <f t="shared" si="77"/>
        <v>21120</v>
      </c>
      <c r="S75" s="25">
        <f t="shared" si="78"/>
        <v>18000</v>
      </c>
      <c r="T75" s="30">
        <f t="shared" si="79"/>
        <v>32</v>
      </c>
      <c r="U75" s="30">
        <f t="shared" si="80"/>
        <v>0.4</v>
      </c>
      <c r="V75" s="30">
        <f t="shared" si="81"/>
        <v>64</v>
      </c>
      <c r="W75" s="30">
        <f t="shared" si="82"/>
        <v>4</v>
      </c>
      <c r="X75" s="30">
        <f t="shared" si="83"/>
        <v>0.4</v>
      </c>
      <c r="Y75" s="7">
        <f t="shared" si="84"/>
        <v>0.37712639999999997</v>
      </c>
      <c r="Z75" s="7">
        <f t="shared" si="85"/>
        <v>9.4281599999999993E-2</v>
      </c>
      <c r="AA75" s="25">
        <f t="shared" si="86"/>
        <v>8</v>
      </c>
      <c r="AB75" s="25">
        <f t="shared" si="87"/>
        <v>24</v>
      </c>
      <c r="AC75" s="25">
        <f t="shared" si="88"/>
        <v>80</v>
      </c>
      <c r="AD75" s="25">
        <f t="shared" si="89"/>
        <v>8</v>
      </c>
      <c r="AE75" s="25">
        <f t="shared" si="90"/>
        <v>15</v>
      </c>
      <c r="AF75" s="25">
        <f t="shared" si="91"/>
        <v>15</v>
      </c>
      <c r="AG75" s="25">
        <f t="shared" si="92"/>
        <v>11.5</v>
      </c>
      <c r="AH75" s="30">
        <f t="shared" si="93"/>
        <v>1.0842383999999998</v>
      </c>
      <c r="AI75" s="25">
        <f t="shared" si="94"/>
        <v>11340000</v>
      </c>
      <c r="AJ75" s="25">
        <f t="shared" si="95"/>
        <v>3402000</v>
      </c>
      <c r="AK75" s="33">
        <f t="shared" si="96"/>
        <v>11065737.110399999</v>
      </c>
      <c r="AL75" s="33">
        <f t="shared" si="97"/>
        <v>0</v>
      </c>
      <c r="AM75" s="5">
        <f t="shared" si="98"/>
        <v>0.69071490174291783</v>
      </c>
    </row>
    <row r="76" spans="1:39" x14ac:dyDescent="0.45">
      <c r="A76" t="s">
        <v>522</v>
      </c>
      <c r="B76" t="s">
        <v>523</v>
      </c>
      <c r="C76" s="6">
        <f t="shared" si="65"/>
        <v>0.1</v>
      </c>
      <c r="D76" s="6">
        <f t="shared" si="66"/>
        <v>0.3</v>
      </c>
      <c r="E76" s="22">
        <f t="shared" si="67"/>
        <v>1</v>
      </c>
      <c r="F76" s="25">
        <f t="shared" si="68"/>
        <v>4</v>
      </c>
      <c r="G76" s="6">
        <f t="shared" si="69"/>
        <v>0.4</v>
      </c>
      <c r="H76" s="4">
        <f t="shared" si="70"/>
        <v>3</v>
      </c>
      <c r="I76" s="6">
        <f t="shared" si="71"/>
        <v>0.8</v>
      </c>
      <c r="J76" s="4">
        <f t="shared" si="72"/>
        <v>1500</v>
      </c>
      <c r="K76" s="6">
        <f t="shared" si="73"/>
        <v>1</v>
      </c>
      <c r="L76" s="4">
        <f>IdxMini</f>
        <v>5</v>
      </c>
      <c r="M76" s="4">
        <f>20</f>
        <v>20</v>
      </c>
      <c r="N76" s="6">
        <f>0</f>
        <v>0</v>
      </c>
      <c r="O76" s="25">
        <f t="shared" si="74"/>
        <v>12</v>
      </c>
      <c r="P76" s="25">
        <f t="shared" si="75"/>
        <v>960</v>
      </c>
      <c r="Q76" s="25">
        <f t="shared" si="76"/>
        <v>2880</v>
      </c>
      <c r="R76" s="25">
        <f t="shared" si="77"/>
        <v>21120</v>
      </c>
      <c r="S76" s="25">
        <f t="shared" si="78"/>
        <v>18000</v>
      </c>
      <c r="T76" s="30">
        <f t="shared" si="79"/>
        <v>10</v>
      </c>
      <c r="U76" s="30">
        <f t="shared" si="80"/>
        <v>0.3</v>
      </c>
      <c r="V76" s="30">
        <f t="shared" si="81"/>
        <v>20</v>
      </c>
      <c r="W76" s="30">
        <f t="shared" si="82"/>
        <v>0.6</v>
      </c>
      <c r="X76" s="30">
        <f t="shared" si="83"/>
        <v>0.06</v>
      </c>
      <c r="Y76" s="7">
        <f t="shared" si="84"/>
        <v>0.11753279999999999</v>
      </c>
      <c r="Z76" s="7">
        <f t="shared" si="85"/>
        <v>2.9383199999999998E-2</v>
      </c>
      <c r="AA76" s="25">
        <f t="shared" si="86"/>
        <v>8</v>
      </c>
      <c r="AB76" s="25">
        <f t="shared" si="87"/>
        <v>24</v>
      </c>
      <c r="AC76" s="25">
        <f t="shared" si="88"/>
        <v>80</v>
      </c>
      <c r="AD76" s="25">
        <f t="shared" si="89"/>
        <v>8</v>
      </c>
      <c r="AE76" s="25">
        <f t="shared" si="90"/>
        <v>20</v>
      </c>
      <c r="AF76" s="25">
        <f t="shared" si="91"/>
        <v>20</v>
      </c>
      <c r="AG76" s="25">
        <f t="shared" si="92"/>
        <v>14</v>
      </c>
      <c r="AH76" s="30">
        <f t="shared" si="93"/>
        <v>0.41136479999999997</v>
      </c>
      <c r="AI76" s="25">
        <f t="shared" si="94"/>
        <v>11340000</v>
      </c>
      <c r="AJ76" s="25">
        <f t="shared" si="95"/>
        <v>3402000</v>
      </c>
      <c r="AK76" s="33">
        <f t="shared" si="96"/>
        <v>4198389.1488000005</v>
      </c>
      <c r="AL76" s="33">
        <f t="shared" si="97"/>
        <v>0</v>
      </c>
      <c r="AM76" s="5">
        <f t="shared" si="98"/>
        <v>0.71372463845812351</v>
      </c>
    </row>
    <row r="77" spans="1:39" x14ac:dyDescent="0.45">
      <c r="A77" t="s">
        <v>524</v>
      </c>
      <c r="B77" t="s">
        <v>525</v>
      </c>
      <c r="C77" s="6">
        <f t="shared" si="65"/>
        <v>0.1</v>
      </c>
      <c r="D77" s="6">
        <f t="shared" si="66"/>
        <v>0.3</v>
      </c>
      <c r="E77" s="22">
        <f t="shared" si="67"/>
        <v>1</v>
      </c>
      <c r="F77" s="25">
        <f t="shared" si="68"/>
        <v>4</v>
      </c>
      <c r="G77" s="6">
        <f t="shared" si="69"/>
        <v>0.4</v>
      </c>
      <c r="H77" s="4">
        <f t="shared" si="70"/>
        <v>3</v>
      </c>
      <c r="I77" s="6">
        <f t="shared" si="71"/>
        <v>0.8</v>
      </c>
      <c r="J77" s="4">
        <f t="shared" si="72"/>
        <v>1500</v>
      </c>
      <c r="K77" s="6">
        <f t="shared" si="73"/>
        <v>1</v>
      </c>
      <c r="L77" s="4">
        <f>IdxFlag</f>
        <v>6</v>
      </c>
      <c r="M77" s="4">
        <f>20</f>
        <v>20</v>
      </c>
      <c r="N77" s="6">
        <f>0</f>
        <v>0</v>
      </c>
      <c r="O77" s="25">
        <f t="shared" si="74"/>
        <v>12</v>
      </c>
      <c r="P77" s="25">
        <f t="shared" si="75"/>
        <v>960</v>
      </c>
      <c r="Q77" s="25">
        <f t="shared" si="76"/>
        <v>2880</v>
      </c>
      <c r="R77" s="25">
        <f t="shared" si="77"/>
        <v>21120</v>
      </c>
      <c r="S77" s="25">
        <f t="shared" si="78"/>
        <v>18000</v>
      </c>
      <c r="T77" s="30">
        <f t="shared" si="79"/>
        <v>32</v>
      </c>
      <c r="U77" s="30">
        <f t="shared" si="80"/>
        <v>0.4</v>
      </c>
      <c r="V77" s="30">
        <f t="shared" si="81"/>
        <v>64</v>
      </c>
      <c r="W77" s="30">
        <f t="shared" si="82"/>
        <v>4</v>
      </c>
      <c r="X77" s="30">
        <f t="shared" si="83"/>
        <v>0.4</v>
      </c>
      <c r="Y77" s="7">
        <f t="shared" si="84"/>
        <v>0.37712639999999997</v>
      </c>
      <c r="Z77" s="7">
        <f t="shared" si="85"/>
        <v>9.4281599999999993E-2</v>
      </c>
      <c r="AA77" s="25">
        <f t="shared" si="86"/>
        <v>8</v>
      </c>
      <c r="AB77" s="25">
        <f t="shared" si="87"/>
        <v>24</v>
      </c>
      <c r="AC77" s="25">
        <f t="shared" si="88"/>
        <v>80</v>
      </c>
      <c r="AD77" s="25">
        <f t="shared" si="89"/>
        <v>8</v>
      </c>
      <c r="AE77" s="25">
        <f t="shared" si="90"/>
        <v>20</v>
      </c>
      <c r="AF77" s="25">
        <f t="shared" si="91"/>
        <v>20</v>
      </c>
      <c r="AG77" s="25">
        <f t="shared" si="92"/>
        <v>14</v>
      </c>
      <c r="AH77" s="30">
        <f t="shared" si="93"/>
        <v>1.3199424</v>
      </c>
      <c r="AI77" s="25">
        <f t="shared" si="94"/>
        <v>11340000</v>
      </c>
      <c r="AJ77" s="25">
        <f t="shared" si="95"/>
        <v>3402000</v>
      </c>
      <c r="AK77" s="33">
        <f t="shared" si="96"/>
        <v>13471332.134400001</v>
      </c>
      <c r="AL77" s="33">
        <f t="shared" si="97"/>
        <v>0</v>
      </c>
      <c r="AM77" s="5">
        <f t="shared" si="98"/>
        <v>0.68265471483304219</v>
      </c>
    </row>
    <row r="78" spans="1:39" x14ac:dyDescent="0.45">
      <c r="A78" t="s">
        <v>526</v>
      </c>
      <c r="B78" t="s">
        <v>527</v>
      </c>
      <c r="C78" s="6">
        <f t="shared" si="65"/>
        <v>0.1</v>
      </c>
      <c r="D78" s="6">
        <f t="shared" si="66"/>
        <v>0.3</v>
      </c>
      <c r="E78" s="22">
        <f t="shared" si="67"/>
        <v>1</v>
      </c>
      <c r="F78" s="25">
        <f t="shared" si="68"/>
        <v>4</v>
      </c>
      <c r="G78" s="6">
        <f t="shared" si="69"/>
        <v>0.4</v>
      </c>
      <c r="H78" s="4">
        <f t="shared" si="70"/>
        <v>3</v>
      </c>
      <c r="I78" s="6">
        <f t="shared" si="71"/>
        <v>0.8</v>
      </c>
      <c r="J78" s="4">
        <f t="shared" si="72"/>
        <v>1500</v>
      </c>
      <c r="K78" s="6">
        <f t="shared" si="73"/>
        <v>1</v>
      </c>
      <c r="L78" s="4">
        <f>IdxMini</f>
        <v>5</v>
      </c>
      <c r="M78" s="4">
        <f>25</f>
        <v>25</v>
      </c>
      <c r="N78" s="6">
        <f>0</f>
        <v>0</v>
      </c>
      <c r="O78" s="25">
        <f t="shared" si="74"/>
        <v>12</v>
      </c>
      <c r="P78" s="25">
        <f t="shared" si="75"/>
        <v>960</v>
      </c>
      <c r="Q78" s="25">
        <f t="shared" si="76"/>
        <v>2880</v>
      </c>
      <c r="R78" s="25">
        <f t="shared" si="77"/>
        <v>21120</v>
      </c>
      <c r="S78" s="25">
        <f t="shared" si="78"/>
        <v>18000</v>
      </c>
      <c r="T78" s="30">
        <f t="shared" si="79"/>
        <v>10</v>
      </c>
      <c r="U78" s="30">
        <f t="shared" si="80"/>
        <v>0.3</v>
      </c>
      <c r="V78" s="30">
        <f t="shared" si="81"/>
        <v>20</v>
      </c>
      <c r="W78" s="30">
        <f t="shared" si="82"/>
        <v>0.6</v>
      </c>
      <c r="X78" s="30">
        <f t="shared" si="83"/>
        <v>0.06</v>
      </c>
      <c r="Y78" s="7">
        <f t="shared" si="84"/>
        <v>0.11753279999999999</v>
      </c>
      <c r="Z78" s="7">
        <f t="shared" si="85"/>
        <v>2.9383199999999998E-2</v>
      </c>
      <c r="AA78" s="25">
        <f t="shared" si="86"/>
        <v>8</v>
      </c>
      <c r="AB78" s="25">
        <f t="shared" si="87"/>
        <v>24</v>
      </c>
      <c r="AC78" s="25">
        <f t="shared" si="88"/>
        <v>80</v>
      </c>
      <c r="AD78" s="25">
        <f t="shared" si="89"/>
        <v>8</v>
      </c>
      <c r="AE78" s="25">
        <f t="shared" si="90"/>
        <v>24</v>
      </c>
      <c r="AF78" s="25">
        <f t="shared" si="91"/>
        <v>25</v>
      </c>
      <c r="AG78" s="25">
        <f t="shared" si="92"/>
        <v>16.149999999999999</v>
      </c>
      <c r="AH78" s="30">
        <f t="shared" si="93"/>
        <v>0.47453867999999993</v>
      </c>
      <c r="AI78" s="25">
        <f t="shared" si="94"/>
        <v>11340000</v>
      </c>
      <c r="AJ78" s="25">
        <f t="shared" si="95"/>
        <v>3402000</v>
      </c>
      <c r="AK78" s="33">
        <f t="shared" si="96"/>
        <v>4843141.7680799998</v>
      </c>
      <c r="AL78" s="33">
        <f t="shared" si="97"/>
        <v>0</v>
      </c>
      <c r="AM78" s="5">
        <f t="shared" si="98"/>
        <v>0.71156433027233945</v>
      </c>
    </row>
    <row r="79" spans="1:39" x14ac:dyDescent="0.45">
      <c r="A79" t="s">
        <v>528</v>
      </c>
      <c r="B79" t="s">
        <v>529</v>
      </c>
      <c r="C79" s="6">
        <f t="shared" si="65"/>
        <v>0.1</v>
      </c>
      <c r="D79" s="6">
        <f t="shared" si="66"/>
        <v>0.3</v>
      </c>
      <c r="E79" s="22">
        <f t="shared" si="67"/>
        <v>1</v>
      </c>
      <c r="F79" s="25">
        <f t="shared" si="68"/>
        <v>4</v>
      </c>
      <c r="G79" s="6">
        <f t="shared" si="69"/>
        <v>0.4</v>
      </c>
      <c r="H79" s="4">
        <f t="shared" si="70"/>
        <v>3</v>
      </c>
      <c r="I79" s="6">
        <f t="shared" si="71"/>
        <v>0.8</v>
      </c>
      <c r="J79" s="4">
        <f t="shared" si="72"/>
        <v>1500</v>
      </c>
      <c r="K79" s="6">
        <f t="shared" si="73"/>
        <v>1</v>
      </c>
      <c r="L79" s="4">
        <f>IdxFlag</f>
        <v>6</v>
      </c>
      <c r="M79" s="4">
        <f>25</f>
        <v>25</v>
      </c>
      <c r="N79" s="6">
        <f>0</f>
        <v>0</v>
      </c>
      <c r="O79" s="25">
        <f t="shared" si="74"/>
        <v>12</v>
      </c>
      <c r="P79" s="25">
        <f t="shared" si="75"/>
        <v>960</v>
      </c>
      <c r="Q79" s="25">
        <f t="shared" si="76"/>
        <v>2880</v>
      </c>
      <c r="R79" s="25">
        <f t="shared" si="77"/>
        <v>21120</v>
      </c>
      <c r="S79" s="25">
        <f t="shared" si="78"/>
        <v>18000</v>
      </c>
      <c r="T79" s="30">
        <f t="shared" si="79"/>
        <v>32</v>
      </c>
      <c r="U79" s="30">
        <f t="shared" si="80"/>
        <v>0.4</v>
      </c>
      <c r="V79" s="30">
        <f t="shared" si="81"/>
        <v>64</v>
      </c>
      <c r="W79" s="30">
        <f t="shared" si="82"/>
        <v>4</v>
      </c>
      <c r="X79" s="30">
        <f t="shared" si="83"/>
        <v>0.4</v>
      </c>
      <c r="Y79" s="7">
        <f t="shared" si="84"/>
        <v>0.37712639999999997</v>
      </c>
      <c r="Z79" s="7">
        <f t="shared" si="85"/>
        <v>9.4281599999999993E-2</v>
      </c>
      <c r="AA79" s="25">
        <f t="shared" si="86"/>
        <v>8</v>
      </c>
      <c r="AB79" s="25">
        <f t="shared" si="87"/>
        <v>24</v>
      </c>
      <c r="AC79" s="25">
        <f t="shared" si="88"/>
        <v>80</v>
      </c>
      <c r="AD79" s="25">
        <f t="shared" si="89"/>
        <v>8</v>
      </c>
      <c r="AE79" s="25">
        <f t="shared" si="90"/>
        <v>24</v>
      </c>
      <c r="AF79" s="25">
        <f t="shared" si="91"/>
        <v>25</v>
      </c>
      <c r="AG79" s="25">
        <f t="shared" si="92"/>
        <v>16.149999999999999</v>
      </c>
      <c r="AH79" s="30">
        <f t="shared" si="93"/>
        <v>1.5226478399999999</v>
      </c>
      <c r="AI79" s="25">
        <f t="shared" si="94"/>
        <v>11340000</v>
      </c>
      <c r="AJ79" s="25">
        <f t="shared" si="95"/>
        <v>3402000</v>
      </c>
      <c r="AK79" s="33">
        <f t="shared" si="96"/>
        <v>15540143.855039999</v>
      </c>
      <c r="AL79" s="33">
        <f t="shared" si="97"/>
        <v>0</v>
      </c>
      <c r="AM79" s="5">
        <f t="shared" si="98"/>
        <v>0.67572295409054928</v>
      </c>
    </row>
    <row r="80" spans="1:39" x14ac:dyDescent="0.45">
      <c r="A80" t="s">
        <v>530</v>
      </c>
      <c r="B80" t="s">
        <v>531</v>
      </c>
      <c r="C80" s="6">
        <f t="shared" si="65"/>
        <v>0.1</v>
      </c>
      <c r="D80" s="6">
        <f t="shared" si="66"/>
        <v>0.3</v>
      </c>
      <c r="E80" s="22">
        <f t="shared" si="67"/>
        <v>1</v>
      </c>
      <c r="F80" s="25">
        <f t="shared" si="68"/>
        <v>4</v>
      </c>
      <c r="G80" s="6">
        <f t="shared" si="69"/>
        <v>0.4</v>
      </c>
      <c r="H80" s="4">
        <f t="shared" si="70"/>
        <v>3</v>
      </c>
      <c r="I80" s="6">
        <f t="shared" si="71"/>
        <v>0.8</v>
      </c>
      <c r="J80" s="4">
        <f t="shared" si="72"/>
        <v>1500</v>
      </c>
      <c r="K80" s="6">
        <f t="shared" si="73"/>
        <v>1</v>
      </c>
      <c r="L80" s="4">
        <f>IdxMini</f>
        <v>5</v>
      </c>
      <c r="M80" s="4">
        <f>30</f>
        <v>30</v>
      </c>
      <c r="N80" s="6">
        <f>0</f>
        <v>0</v>
      </c>
      <c r="O80" s="25">
        <f t="shared" si="74"/>
        <v>12</v>
      </c>
      <c r="P80" s="25">
        <f t="shared" si="75"/>
        <v>960</v>
      </c>
      <c r="Q80" s="25">
        <f t="shared" si="76"/>
        <v>2880</v>
      </c>
      <c r="R80" s="25">
        <f t="shared" si="77"/>
        <v>21120</v>
      </c>
      <c r="S80" s="25">
        <f t="shared" si="78"/>
        <v>18000</v>
      </c>
      <c r="T80" s="30">
        <f t="shared" si="79"/>
        <v>10</v>
      </c>
      <c r="U80" s="30">
        <f t="shared" si="80"/>
        <v>0.3</v>
      </c>
      <c r="V80" s="30">
        <f t="shared" si="81"/>
        <v>20</v>
      </c>
      <c r="W80" s="30">
        <f t="shared" si="82"/>
        <v>0.6</v>
      </c>
      <c r="X80" s="30">
        <f t="shared" si="83"/>
        <v>0.06</v>
      </c>
      <c r="Y80" s="7">
        <f t="shared" si="84"/>
        <v>0.11753279999999999</v>
      </c>
      <c r="Z80" s="7">
        <f t="shared" si="85"/>
        <v>2.9383199999999998E-2</v>
      </c>
      <c r="AA80" s="25">
        <f t="shared" si="86"/>
        <v>8</v>
      </c>
      <c r="AB80" s="25">
        <f t="shared" si="87"/>
        <v>24</v>
      </c>
      <c r="AC80" s="25">
        <f t="shared" si="88"/>
        <v>80</v>
      </c>
      <c r="AD80" s="25">
        <f t="shared" si="89"/>
        <v>8</v>
      </c>
      <c r="AE80" s="25">
        <f t="shared" si="90"/>
        <v>24</v>
      </c>
      <c r="AF80" s="25">
        <f t="shared" si="91"/>
        <v>30</v>
      </c>
      <c r="AG80" s="25">
        <f t="shared" si="92"/>
        <v>16.899999999999999</v>
      </c>
      <c r="AH80" s="30">
        <f t="shared" si="93"/>
        <v>0.49657607999999992</v>
      </c>
      <c r="AI80" s="25">
        <f t="shared" si="94"/>
        <v>11340000</v>
      </c>
      <c r="AJ80" s="25">
        <f t="shared" si="95"/>
        <v>3402000</v>
      </c>
      <c r="AK80" s="33">
        <f t="shared" si="96"/>
        <v>5068055.4724799991</v>
      </c>
      <c r="AL80" s="33">
        <f t="shared" si="97"/>
        <v>0</v>
      </c>
      <c r="AM80" s="5">
        <f t="shared" si="98"/>
        <v>0.71081073439357756</v>
      </c>
    </row>
    <row r="81" spans="1:39" x14ac:dyDescent="0.45">
      <c r="A81" t="s">
        <v>532</v>
      </c>
      <c r="B81" t="s">
        <v>533</v>
      </c>
      <c r="C81" s="6">
        <f t="shared" si="65"/>
        <v>0.1</v>
      </c>
      <c r="D81" s="6">
        <f t="shared" si="66"/>
        <v>0.3</v>
      </c>
      <c r="E81" s="22">
        <f t="shared" si="67"/>
        <v>1</v>
      </c>
      <c r="F81" s="25">
        <f t="shared" si="68"/>
        <v>4</v>
      </c>
      <c r="G81" s="6">
        <f t="shared" si="69"/>
        <v>0.4</v>
      </c>
      <c r="H81" s="4">
        <f t="shared" si="70"/>
        <v>3</v>
      </c>
      <c r="I81" s="6">
        <f t="shared" si="71"/>
        <v>0.8</v>
      </c>
      <c r="J81" s="4">
        <f t="shared" si="72"/>
        <v>1500</v>
      </c>
      <c r="K81" s="6">
        <f t="shared" si="73"/>
        <v>1</v>
      </c>
      <c r="L81" s="4">
        <f>IdxFlag</f>
        <v>6</v>
      </c>
      <c r="M81" s="4">
        <f>30</f>
        <v>30</v>
      </c>
      <c r="N81" s="6">
        <f>0</f>
        <v>0</v>
      </c>
      <c r="O81" s="25">
        <f t="shared" si="74"/>
        <v>12</v>
      </c>
      <c r="P81" s="25">
        <f t="shared" si="75"/>
        <v>960</v>
      </c>
      <c r="Q81" s="25">
        <f t="shared" si="76"/>
        <v>2880</v>
      </c>
      <c r="R81" s="25">
        <f t="shared" si="77"/>
        <v>21120</v>
      </c>
      <c r="S81" s="25">
        <f t="shared" si="78"/>
        <v>18000</v>
      </c>
      <c r="T81" s="30">
        <f t="shared" si="79"/>
        <v>32</v>
      </c>
      <c r="U81" s="30">
        <f t="shared" si="80"/>
        <v>0.4</v>
      </c>
      <c r="V81" s="30">
        <f t="shared" si="81"/>
        <v>64</v>
      </c>
      <c r="W81" s="30">
        <f t="shared" si="82"/>
        <v>4</v>
      </c>
      <c r="X81" s="30">
        <f t="shared" si="83"/>
        <v>0.4</v>
      </c>
      <c r="Y81" s="7">
        <f t="shared" si="84"/>
        <v>0.37712639999999997</v>
      </c>
      <c r="Z81" s="7">
        <f t="shared" si="85"/>
        <v>9.4281599999999993E-2</v>
      </c>
      <c r="AA81" s="25">
        <f t="shared" si="86"/>
        <v>8</v>
      </c>
      <c r="AB81" s="25">
        <f t="shared" si="87"/>
        <v>24</v>
      </c>
      <c r="AC81" s="25">
        <f t="shared" si="88"/>
        <v>80</v>
      </c>
      <c r="AD81" s="25">
        <f t="shared" si="89"/>
        <v>8</v>
      </c>
      <c r="AE81" s="25">
        <f t="shared" si="90"/>
        <v>24</v>
      </c>
      <c r="AF81" s="25">
        <f t="shared" si="91"/>
        <v>30</v>
      </c>
      <c r="AG81" s="25">
        <f t="shared" si="92"/>
        <v>16.899999999999999</v>
      </c>
      <c r="AH81" s="30">
        <f t="shared" si="93"/>
        <v>1.5933590399999997</v>
      </c>
      <c r="AI81" s="25">
        <f t="shared" si="94"/>
        <v>11340000</v>
      </c>
      <c r="AJ81" s="25">
        <f t="shared" si="95"/>
        <v>3402000</v>
      </c>
      <c r="AK81" s="33">
        <f t="shared" si="96"/>
        <v>16261822.362239996</v>
      </c>
      <c r="AL81" s="33">
        <f t="shared" si="97"/>
        <v>0</v>
      </c>
      <c r="AM81" s="5">
        <f t="shared" si="98"/>
        <v>0.67330489801758664</v>
      </c>
    </row>
    <row r="82" spans="1:39" x14ac:dyDescent="0.45">
      <c r="A82" t="s">
        <v>534</v>
      </c>
      <c r="B82" t="s">
        <v>535</v>
      </c>
      <c r="C82" s="6">
        <f t="shared" si="65"/>
        <v>0.1</v>
      </c>
      <c r="D82" s="6">
        <f t="shared" si="66"/>
        <v>0.3</v>
      </c>
      <c r="E82" s="22">
        <f t="shared" si="67"/>
        <v>1</v>
      </c>
      <c r="F82" s="25">
        <f t="shared" si="68"/>
        <v>4</v>
      </c>
      <c r="G82" s="6">
        <f t="shared" si="69"/>
        <v>0.4</v>
      </c>
      <c r="H82" s="4">
        <f t="shared" si="70"/>
        <v>3</v>
      </c>
      <c r="I82" s="6">
        <f t="shared" si="71"/>
        <v>0.8</v>
      </c>
      <c r="J82" s="4">
        <f t="shared" si="72"/>
        <v>1500</v>
      </c>
      <c r="K82" s="6">
        <f t="shared" si="73"/>
        <v>1</v>
      </c>
      <c r="L82" s="4">
        <f>IdxMini</f>
        <v>5</v>
      </c>
      <c r="M82" s="4">
        <f>35</f>
        <v>35</v>
      </c>
      <c r="N82" s="6">
        <f>0</f>
        <v>0</v>
      </c>
      <c r="O82" s="25">
        <f t="shared" si="74"/>
        <v>12</v>
      </c>
      <c r="P82" s="25">
        <f t="shared" si="75"/>
        <v>960</v>
      </c>
      <c r="Q82" s="25">
        <f t="shared" si="76"/>
        <v>2880</v>
      </c>
      <c r="R82" s="25">
        <f t="shared" si="77"/>
        <v>21120</v>
      </c>
      <c r="S82" s="25">
        <f t="shared" si="78"/>
        <v>18000</v>
      </c>
      <c r="T82" s="30">
        <f t="shared" si="79"/>
        <v>10</v>
      </c>
      <c r="U82" s="30">
        <f t="shared" si="80"/>
        <v>0.3</v>
      </c>
      <c r="V82" s="30">
        <f t="shared" si="81"/>
        <v>20</v>
      </c>
      <c r="W82" s="30">
        <f t="shared" si="82"/>
        <v>0.6</v>
      </c>
      <c r="X82" s="30">
        <f t="shared" si="83"/>
        <v>0.06</v>
      </c>
      <c r="Y82" s="7">
        <f t="shared" si="84"/>
        <v>0.11753279999999999</v>
      </c>
      <c r="Z82" s="7">
        <f t="shared" si="85"/>
        <v>2.9383199999999998E-2</v>
      </c>
      <c r="AA82" s="25">
        <f t="shared" si="86"/>
        <v>8</v>
      </c>
      <c r="AB82" s="25">
        <f t="shared" si="87"/>
        <v>24</v>
      </c>
      <c r="AC82" s="25">
        <f t="shared" si="88"/>
        <v>80</v>
      </c>
      <c r="AD82" s="25">
        <f t="shared" si="89"/>
        <v>8</v>
      </c>
      <c r="AE82" s="25">
        <f t="shared" si="90"/>
        <v>24</v>
      </c>
      <c r="AF82" s="25">
        <f t="shared" si="91"/>
        <v>35</v>
      </c>
      <c r="AG82" s="25">
        <f t="shared" si="92"/>
        <v>17.649999999999999</v>
      </c>
      <c r="AH82" s="30">
        <f t="shared" si="93"/>
        <v>0.51861347999999996</v>
      </c>
      <c r="AI82" s="25">
        <f t="shared" si="94"/>
        <v>11340000</v>
      </c>
      <c r="AJ82" s="25">
        <f t="shared" si="95"/>
        <v>3402000</v>
      </c>
      <c r="AK82" s="33">
        <f t="shared" si="96"/>
        <v>5292969.1768799992</v>
      </c>
      <c r="AL82" s="33">
        <f t="shared" si="97"/>
        <v>0</v>
      </c>
      <c r="AM82" s="5">
        <f t="shared" si="98"/>
        <v>0.71005713851481567</v>
      </c>
    </row>
    <row r="83" spans="1:39" x14ac:dyDescent="0.45">
      <c r="A83" t="s">
        <v>536</v>
      </c>
      <c r="B83" t="s">
        <v>537</v>
      </c>
      <c r="C83" s="6">
        <f t="shared" si="65"/>
        <v>0.1</v>
      </c>
      <c r="D83" s="6">
        <f t="shared" si="66"/>
        <v>0.3</v>
      </c>
      <c r="E83" s="22">
        <f t="shared" si="67"/>
        <v>1</v>
      </c>
      <c r="F83" s="25">
        <f t="shared" si="68"/>
        <v>4</v>
      </c>
      <c r="G83" s="6">
        <f t="shared" si="69"/>
        <v>0.4</v>
      </c>
      <c r="H83" s="4">
        <f t="shared" si="70"/>
        <v>3</v>
      </c>
      <c r="I83" s="6">
        <f t="shared" si="71"/>
        <v>0.8</v>
      </c>
      <c r="J83" s="4">
        <f t="shared" si="72"/>
        <v>1500</v>
      </c>
      <c r="K83" s="6">
        <f t="shared" si="73"/>
        <v>1</v>
      </c>
      <c r="L83" s="4">
        <f>IdxFlag</f>
        <v>6</v>
      </c>
      <c r="M83" s="4">
        <f>35</f>
        <v>35</v>
      </c>
      <c r="N83" s="6">
        <f>0</f>
        <v>0</v>
      </c>
      <c r="O83" s="25">
        <f t="shared" si="74"/>
        <v>12</v>
      </c>
      <c r="P83" s="25">
        <f t="shared" si="75"/>
        <v>960</v>
      </c>
      <c r="Q83" s="25">
        <f t="shared" si="76"/>
        <v>2880</v>
      </c>
      <c r="R83" s="25">
        <f t="shared" si="77"/>
        <v>21120</v>
      </c>
      <c r="S83" s="25">
        <f t="shared" si="78"/>
        <v>18000</v>
      </c>
      <c r="T83" s="30">
        <f t="shared" si="79"/>
        <v>32</v>
      </c>
      <c r="U83" s="30">
        <f t="shared" si="80"/>
        <v>0.4</v>
      </c>
      <c r="V83" s="30">
        <f t="shared" si="81"/>
        <v>64</v>
      </c>
      <c r="W83" s="30">
        <f t="shared" si="82"/>
        <v>4</v>
      </c>
      <c r="X83" s="30">
        <f t="shared" si="83"/>
        <v>0.4</v>
      </c>
      <c r="Y83" s="7">
        <f t="shared" si="84"/>
        <v>0.37712639999999997</v>
      </c>
      <c r="Z83" s="7">
        <f t="shared" si="85"/>
        <v>9.4281599999999993E-2</v>
      </c>
      <c r="AA83" s="25">
        <f t="shared" si="86"/>
        <v>8</v>
      </c>
      <c r="AB83" s="25">
        <f t="shared" si="87"/>
        <v>24</v>
      </c>
      <c r="AC83" s="25">
        <f t="shared" si="88"/>
        <v>80</v>
      </c>
      <c r="AD83" s="25">
        <f t="shared" si="89"/>
        <v>8</v>
      </c>
      <c r="AE83" s="25">
        <f t="shared" si="90"/>
        <v>24</v>
      </c>
      <c r="AF83" s="25">
        <f t="shared" si="91"/>
        <v>35</v>
      </c>
      <c r="AG83" s="25">
        <f t="shared" si="92"/>
        <v>17.649999999999999</v>
      </c>
      <c r="AH83" s="30">
        <f t="shared" si="93"/>
        <v>1.6640702399999998</v>
      </c>
      <c r="AI83" s="25">
        <f t="shared" si="94"/>
        <v>11340000</v>
      </c>
      <c r="AJ83" s="25">
        <f t="shared" si="95"/>
        <v>3402000</v>
      </c>
      <c r="AK83" s="33">
        <f t="shared" si="96"/>
        <v>16983500.869439997</v>
      </c>
      <c r="AL83" s="33">
        <f t="shared" si="97"/>
        <v>0</v>
      </c>
      <c r="AM83" s="5">
        <f t="shared" si="98"/>
        <v>0.67088684194462389</v>
      </c>
    </row>
    <row r="84" spans="1:39" x14ac:dyDescent="0.45">
      <c r="A84" t="s">
        <v>538</v>
      </c>
      <c r="B84" t="s">
        <v>539</v>
      </c>
      <c r="C84" s="6">
        <f t="shared" si="65"/>
        <v>0.1</v>
      </c>
      <c r="D84" s="6">
        <f t="shared" si="66"/>
        <v>0.3</v>
      </c>
      <c r="E84" s="22">
        <f t="shared" si="67"/>
        <v>1</v>
      </c>
      <c r="F84" s="25">
        <f t="shared" si="68"/>
        <v>4</v>
      </c>
      <c r="G84" s="6">
        <f t="shared" si="69"/>
        <v>0.4</v>
      </c>
      <c r="H84" s="4">
        <f t="shared" si="70"/>
        <v>3</v>
      </c>
      <c r="I84" s="6">
        <f t="shared" si="71"/>
        <v>0.8</v>
      </c>
      <c r="J84" s="4">
        <f t="shared" si="72"/>
        <v>1500</v>
      </c>
      <c r="K84" s="6">
        <f t="shared" si="73"/>
        <v>1</v>
      </c>
      <c r="L84" s="4">
        <f>IdxMini</f>
        <v>5</v>
      </c>
      <c r="M84" s="4">
        <f>40</f>
        <v>40</v>
      </c>
      <c r="N84" s="6">
        <f>0</f>
        <v>0</v>
      </c>
      <c r="O84" s="25">
        <f t="shared" si="74"/>
        <v>12</v>
      </c>
      <c r="P84" s="25">
        <f t="shared" si="75"/>
        <v>960</v>
      </c>
      <c r="Q84" s="25">
        <f t="shared" si="76"/>
        <v>2880</v>
      </c>
      <c r="R84" s="25">
        <f t="shared" si="77"/>
        <v>21120</v>
      </c>
      <c r="S84" s="25">
        <f t="shared" si="78"/>
        <v>18000</v>
      </c>
      <c r="T84" s="30">
        <f t="shared" si="79"/>
        <v>10</v>
      </c>
      <c r="U84" s="30">
        <f t="shared" si="80"/>
        <v>0.3</v>
      </c>
      <c r="V84" s="30">
        <f t="shared" si="81"/>
        <v>20</v>
      </c>
      <c r="W84" s="30">
        <f t="shared" si="82"/>
        <v>0.6</v>
      </c>
      <c r="X84" s="30">
        <f t="shared" si="83"/>
        <v>0.06</v>
      </c>
      <c r="Y84" s="7">
        <f t="shared" si="84"/>
        <v>0.11753279999999999</v>
      </c>
      <c r="Z84" s="7">
        <f t="shared" si="85"/>
        <v>2.9383199999999998E-2</v>
      </c>
      <c r="AA84" s="25">
        <f t="shared" si="86"/>
        <v>8</v>
      </c>
      <c r="AB84" s="25">
        <f t="shared" si="87"/>
        <v>24</v>
      </c>
      <c r="AC84" s="25">
        <f t="shared" si="88"/>
        <v>80</v>
      </c>
      <c r="AD84" s="25">
        <f t="shared" si="89"/>
        <v>8</v>
      </c>
      <c r="AE84" s="25">
        <f t="shared" si="90"/>
        <v>24</v>
      </c>
      <c r="AF84" s="25">
        <f t="shared" si="91"/>
        <v>40</v>
      </c>
      <c r="AG84" s="25">
        <f t="shared" si="92"/>
        <v>18.399999999999999</v>
      </c>
      <c r="AH84" s="30">
        <f t="shared" si="93"/>
        <v>0.54065087999999994</v>
      </c>
      <c r="AI84" s="25">
        <f t="shared" si="94"/>
        <v>11340000</v>
      </c>
      <c r="AJ84" s="25">
        <f t="shared" si="95"/>
        <v>3402000</v>
      </c>
      <c r="AK84" s="33">
        <f t="shared" si="96"/>
        <v>5517882.8812799994</v>
      </c>
      <c r="AL84" s="33">
        <f t="shared" si="97"/>
        <v>0</v>
      </c>
      <c r="AM84" s="5">
        <f t="shared" si="98"/>
        <v>0.70930354263605377</v>
      </c>
    </row>
    <row r="85" spans="1:39" x14ac:dyDescent="0.45">
      <c r="A85" t="s">
        <v>540</v>
      </c>
      <c r="B85" t="s">
        <v>541</v>
      </c>
      <c r="C85" s="6">
        <f t="shared" si="65"/>
        <v>0.1</v>
      </c>
      <c r="D85" s="6">
        <f t="shared" si="66"/>
        <v>0.3</v>
      </c>
      <c r="E85" s="22">
        <f t="shared" si="67"/>
        <v>1</v>
      </c>
      <c r="F85" s="25">
        <f t="shared" si="68"/>
        <v>4</v>
      </c>
      <c r="G85" s="6">
        <f t="shared" si="69"/>
        <v>0.4</v>
      </c>
      <c r="H85" s="4">
        <f t="shared" si="70"/>
        <v>3</v>
      </c>
      <c r="I85" s="6">
        <f t="shared" si="71"/>
        <v>0.8</v>
      </c>
      <c r="J85" s="4">
        <f t="shared" si="72"/>
        <v>1500</v>
      </c>
      <c r="K85" s="6">
        <f t="shared" si="73"/>
        <v>1</v>
      </c>
      <c r="L85" s="4">
        <f>IdxFlag</f>
        <v>6</v>
      </c>
      <c r="M85" s="4">
        <f>40</f>
        <v>40</v>
      </c>
      <c r="N85" s="6">
        <f>0</f>
        <v>0</v>
      </c>
      <c r="O85" s="25">
        <f t="shared" si="74"/>
        <v>12</v>
      </c>
      <c r="P85" s="25">
        <f t="shared" si="75"/>
        <v>960</v>
      </c>
      <c r="Q85" s="25">
        <f t="shared" si="76"/>
        <v>2880</v>
      </c>
      <c r="R85" s="25">
        <f t="shared" si="77"/>
        <v>21120</v>
      </c>
      <c r="S85" s="25">
        <f t="shared" si="78"/>
        <v>18000</v>
      </c>
      <c r="T85" s="30">
        <f t="shared" si="79"/>
        <v>32</v>
      </c>
      <c r="U85" s="30">
        <f t="shared" si="80"/>
        <v>0.4</v>
      </c>
      <c r="V85" s="30">
        <f t="shared" si="81"/>
        <v>64</v>
      </c>
      <c r="W85" s="30">
        <f t="shared" si="82"/>
        <v>4</v>
      </c>
      <c r="X85" s="30">
        <f t="shared" si="83"/>
        <v>0.4</v>
      </c>
      <c r="Y85" s="7">
        <f t="shared" si="84"/>
        <v>0.37712639999999997</v>
      </c>
      <c r="Z85" s="7">
        <f t="shared" si="85"/>
        <v>9.4281599999999993E-2</v>
      </c>
      <c r="AA85" s="25">
        <f t="shared" si="86"/>
        <v>8</v>
      </c>
      <c r="AB85" s="25">
        <f t="shared" si="87"/>
        <v>24</v>
      </c>
      <c r="AC85" s="25">
        <f t="shared" si="88"/>
        <v>80</v>
      </c>
      <c r="AD85" s="25">
        <f t="shared" si="89"/>
        <v>8</v>
      </c>
      <c r="AE85" s="25">
        <f t="shared" si="90"/>
        <v>24</v>
      </c>
      <c r="AF85" s="25">
        <f t="shared" si="91"/>
        <v>40</v>
      </c>
      <c r="AG85" s="25">
        <f t="shared" si="92"/>
        <v>18.399999999999999</v>
      </c>
      <c r="AH85" s="30">
        <f t="shared" si="93"/>
        <v>1.7347814399999997</v>
      </c>
      <c r="AI85" s="25">
        <f t="shared" si="94"/>
        <v>11340000</v>
      </c>
      <c r="AJ85" s="25">
        <f t="shared" si="95"/>
        <v>3402000</v>
      </c>
      <c r="AK85" s="33">
        <f t="shared" si="96"/>
        <v>17705179.376639996</v>
      </c>
      <c r="AL85" s="33">
        <f t="shared" si="97"/>
        <v>0</v>
      </c>
      <c r="AM85" s="5">
        <f t="shared" si="98"/>
        <v>0.66846878587166125</v>
      </c>
    </row>
    <row r="86" spans="1:39" x14ac:dyDescent="0.45">
      <c r="A86" t="s">
        <v>542</v>
      </c>
      <c r="B86" t="s">
        <v>543</v>
      </c>
      <c r="C86" s="6">
        <f t="shared" si="65"/>
        <v>0.1</v>
      </c>
      <c r="D86" s="6">
        <f t="shared" si="66"/>
        <v>0.3</v>
      </c>
      <c r="E86" s="22">
        <f t="shared" si="67"/>
        <v>1</v>
      </c>
      <c r="F86" s="25">
        <f t="shared" si="68"/>
        <v>4</v>
      </c>
      <c r="G86" s="6">
        <f t="shared" si="69"/>
        <v>0.4</v>
      </c>
      <c r="H86" s="4">
        <f t="shared" si="70"/>
        <v>3</v>
      </c>
      <c r="I86" s="6">
        <f t="shared" si="71"/>
        <v>0.8</v>
      </c>
      <c r="J86" s="4">
        <f t="shared" si="72"/>
        <v>1500</v>
      </c>
      <c r="K86" s="6">
        <f t="shared" si="73"/>
        <v>1</v>
      </c>
      <c r="L86" s="4">
        <f>IdxMini</f>
        <v>5</v>
      </c>
      <c r="M86" s="4">
        <f>45</f>
        <v>45</v>
      </c>
      <c r="N86" s="6">
        <f>0</f>
        <v>0</v>
      </c>
      <c r="O86" s="25">
        <f t="shared" si="74"/>
        <v>12</v>
      </c>
      <c r="P86" s="25">
        <f t="shared" si="75"/>
        <v>960</v>
      </c>
      <c r="Q86" s="25">
        <f t="shared" si="76"/>
        <v>2880</v>
      </c>
      <c r="R86" s="25">
        <f t="shared" si="77"/>
        <v>21120</v>
      </c>
      <c r="S86" s="25">
        <f t="shared" si="78"/>
        <v>18000</v>
      </c>
      <c r="T86" s="30">
        <f t="shared" si="79"/>
        <v>10</v>
      </c>
      <c r="U86" s="30">
        <f t="shared" si="80"/>
        <v>0.3</v>
      </c>
      <c r="V86" s="30">
        <f t="shared" si="81"/>
        <v>20</v>
      </c>
      <c r="W86" s="30">
        <f t="shared" si="82"/>
        <v>0.6</v>
      </c>
      <c r="X86" s="30">
        <f t="shared" si="83"/>
        <v>0.06</v>
      </c>
      <c r="Y86" s="7">
        <f t="shared" si="84"/>
        <v>0.11753279999999999</v>
      </c>
      <c r="Z86" s="7">
        <f t="shared" si="85"/>
        <v>2.9383199999999998E-2</v>
      </c>
      <c r="AA86" s="25">
        <f t="shared" si="86"/>
        <v>8</v>
      </c>
      <c r="AB86" s="25">
        <f t="shared" si="87"/>
        <v>24</v>
      </c>
      <c r="AC86" s="25">
        <f t="shared" si="88"/>
        <v>80</v>
      </c>
      <c r="AD86" s="25">
        <f t="shared" si="89"/>
        <v>8</v>
      </c>
      <c r="AE86" s="25">
        <f t="shared" si="90"/>
        <v>24</v>
      </c>
      <c r="AF86" s="25">
        <f t="shared" si="91"/>
        <v>45</v>
      </c>
      <c r="AG86" s="25">
        <f t="shared" si="92"/>
        <v>19.149999999999999</v>
      </c>
      <c r="AH86" s="30">
        <f t="shared" si="93"/>
        <v>0.56268827999999993</v>
      </c>
      <c r="AI86" s="25">
        <f t="shared" si="94"/>
        <v>11340000</v>
      </c>
      <c r="AJ86" s="25">
        <f t="shared" si="95"/>
        <v>3402000</v>
      </c>
      <c r="AK86" s="33">
        <f t="shared" si="96"/>
        <v>5742796.5856799996</v>
      </c>
      <c r="AL86" s="33">
        <f t="shared" si="97"/>
        <v>0</v>
      </c>
      <c r="AM86" s="5">
        <f t="shared" si="98"/>
        <v>0.70854994675729188</v>
      </c>
    </row>
    <row r="87" spans="1:39" x14ac:dyDescent="0.45">
      <c r="A87" t="s">
        <v>544</v>
      </c>
      <c r="B87" t="s">
        <v>545</v>
      </c>
      <c r="C87" s="6">
        <f t="shared" si="65"/>
        <v>0.1</v>
      </c>
      <c r="D87" s="6">
        <f t="shared" si="66"/>
        <v>0.3</v>
      </c>
      <c r="E87" s="22">
        <f t="shared" si="67"/>
        <v>1</v>
      </c>
      <c r="F87" s="25">
        <f t="shared" si="68"/>
        <v>4</v>
      </c>
      <c r="G87" s="6">
        <f t="shared" si="69"/>
        <v>0.4</v>
      </c>
      <c r="H87" s="4">
        <f t="shared" si="70"/>
        <v>3</v>
      </c>
      <c r="I87" s="6">
        <f t="shared" si="71"/>
        <v>0.8</v>
      </c>
      <c r="J87" s="4">
        <f t="shared" si="72"/>
        <v>1500</v>
      </c>
      <c r="K87" s="6">
        <f t="shared" si="73"/>
        <v>1</v>
      </c>
      <c r="L87" s="4">
        <f>IdxFlag</f>
        <v>6</v>
      </c>
      <c r="M87" s="4">
        <f>45</f>
        <v>45</v>
      </c>
      <c r="N87" s="6">
        <f>0</f>
        <v>0</v>
      </c>
      <c r="O87" s="25">
        <f t="shared" si="74"/>
        <v>12</v>
      </c>
      <c r="P87" s="25">
        <f t="shared" si="75"/>
        <v>960</v>
      </c>
      <c r="Q87" s="25">
        <f t="shared" si="76"/>
        <v>2880</v>
      </c>
      <c r="R87" s="25">
        <f t="shared" si="77"/>
        <v>21120</v>
      </c>
      <c r="S87" s="25">
        <f t="shared" si="78"/>
        <v>18000</v>
      </c>
      <c r="T87" s="30">
        <f t="shared" si="79"/>
        <v>32</v>
      </c>
      <c r="U87" s="30">
        <f t="shared" si="80"/>
        <v>0.4</v>
      </c>
      <c r="V87" s="30">
        <f t="shared" si="81"/>
        <v>64</v>
      </c>
      <c r="W87" s="30">
        <f t="shared" si="82"/>
        <v>4</v>
      </c>
      <c r="X87" s="30">
        <f t="shared" si="83"/>
        <v>0.4</v>
      </c>
      <c r="Y87" s="7">
        <f t="shared" si="84"/>
        <v>0.37712639999999997</v>
      </c>
      <c r="Z87" s="7">
        <f t="shared" si="85"/>
        <v>9.4281599999999993E-2</v>
      </c>
      <c r="AA87" s="25">
        <f t="shared" si="86"/>
        <v>8</v>
      </c>
      <c r="AB87" s="25">
        <f t="shared" si="87"/>
        <v>24</v>
      </c>
      <c r="AC87" s="25">
        <f t="shared" si="88"/>
        <v>80</v>
      </c>
      <c r="AD87" s="25">
        <f t="shared" si="89"/>
        <v>8</v>
      </c>
      <c r="AE87" s="25">
        <f t="shared" si="90"/>
        <v>24</v>
      </c>
      <c r="AF87" s="25">
        <f t="shared" si="91"/>
        <v>45</v>
      </c>
      <c r="AG87" s="25">
        <f t="shared" si="92"/>
        <v>19.149999999999999</v>
      </c>
      <c r="AH87" s="30">
        <f t="shared" si="93"/>
        <v>1.8054926399999998</v>
      </c>
      <c r="AI87" s="25">
        <f t="shared" si="94"/>
        <v>11340000</v>
      </c>
      <c r="AJ87" s="25">
        <f t="shared" si="95"/>
        <v>3402000</v>
      </c>
      <c r="AK87" s="33">
        <f t="shared" si="96"/>
        <v>18426857.883839998</v>
      </c>
      <c r="AL87" s="33">
        <f t="shared" si="97"/>
        <v>0</v>
      </c>
      <c r="AM87" s="5">
        <f t="shared" si="98"/>
        <v>0.66605072979869862</v>
      </c>
    </row>
    <row r="88" spans="1:39" x14ac:dyDescent="0.45">
      <c r="A88" t="s">
        <v>546</v>
      </c>
      <c r="B88" t="s">
        <v>547</v>
      </c>
      <c r="C88" s="6">
        <f t="shared" si="65"/>
        <v>0.1</v>
      </c>
      <c r="D88" s="6">
        <f t="shared" si="66"/>
        <v>0.3</v>
      </c>
      <c r="E88" s="22">
        <f t="shared" si="67"/>
        <v>1</v>
      </c>
      <c r="F88" s="25">
        <f t="shared" si="68"/>
        <v>4</v>
      </c>
      <c r="G88" s="6">
        <f t="shared" si="69"/>
        <v>0.4</v>
      </c>
      <c r="H88" s="4">
        <f t="shared" si="70"/>
        <v>3</v>
      </c>
      <c r="I88" s="6">
        <f t="shared" si="71"/>
        <v>0.8</v>
      </c>
      <c r="J88" s="4">
        <f t="shared" si="72"/>
        <v>1500</v>
      </c>
      <c r="K88" s="6">
        <f t="shared" si="73"/>
        <v>1</v>
      </c>
      <c r="L88" s="4">
        <f>IdxMini</f>
        <v>5</v>
      </c>
      <c r="M88" s="4">
        <f>50</f>
        <v>50</v>
      </c>
      <c r="N88" s="6">
        <f>0</f>
        <v>0</v>
      </c>
      <c r="O88" s="25">
        <f t="shared" si="74"/>
        <v>12</v>
      </c>
      <c r="P88" s="25">
        <f t="shared" si="75"/>
        <v>960</v>
      </c>
      <c r="Q88" s="25">
        <f t="shared" si="76"/>
        <v>2880</v>
      </c>
      <c r="R88" s="25">
        <f t="shared" si="77"/>
        <v>21120</v>
      </c>
      <c r="S88" s="25">
        <f t="shared" si="78"/>
        <v>18000</v>
      </c>
      <c r="T88" s="30">
        <f t="shared" si="79"/>
        <v>10</v>
      </c>
      <c r="U88" s="30">
        <f t="shared" si="80"/>
        <v>0.3</v>
      </c>
      <c r="V88" s="30">
        <f t="shared" si="81"/>
        <v>20</v>
      </c>
      <c r="W88" s="30">
        <f t="shared" si="82"/>
        <v>0.6</v>
      </c>
      <c r="X88" s="30">
        <f t="shared" si="83"/>
        <v>0.06</v>
      </c>
      <c r="Y88" s="7">
        <f t="shared" si="84"/>
        <v>0.11753279999999999</v>
      </c>
      <c r="Z88" s="7">
        <f t="shared" si="85"/>
        <v>2.9383199999999998E-2</v>
      </c>
      <c r="AA88" s="25">
        <f t="shared" si="86"/>
        <v>8</v>
      </c>
      <c r="AB88" s="25">
        <f t="shared" si="87"/>
        <v>24</v>
      </c>
      <c r="AC88" s="25">
        <f t="shared" si="88"/>
        <v>80</v>
      </c>
      <c r="AD88" s="25">
        <f t="shared" si="89"/>
        <v>8</v>
      </c>
      <c r="AE88" s="25">
        <f t="shared" si="90"/>
        <v>24</v>
      </c>
      <c r="AF88" s="25">
        <f t="shared" si="91"/>
        <v>50</v>
      </c>
      <c r="AG88" s="25">
        <f t="shared" si="92"/>
        <v>19.899999999999999</v>
      </c>
      <c r="AH88" s="30">
        <f t="shared" si="93"/>
        <v>0.58472567999999991</v>
      </c>
      <c r="AI88" s="25">
        <f t="shared" si="94"/>
        <v>11340000</v>
      </c>
      <c r="AJ88" s="25">
        <f t="shared" si="95"/>
        <v>3402000</v>
      </c>
      <c r="AK88" s="33">
        <f t="shared" si="96"/>
        <v>5967710.2900799997</v>
      </c>
      <c r="AL88" s="33">
        <f t="shared" si="97"/>
        <v>0</v>
      </c>
      <c r="AM88" s="5">
        <f t="shared" si="98"/>
        <v>0.70779635087852999</v>
      </c>
    </row>
    <row r="89" spans="1:39" x14ac:dyDescent="0.45">
      <c r="A89" t="s">
        <v>548</v>
      </c>
      <c r="B89" t="s">
        <v>549</v>
      </c>
      <c r="C89" s="6">
        <f t="shared" si="65"/>
        <v>0.1</v>
      </c>
      <c r="D89" s="6">
        <f t="shared" si="66"/>
        <v>0.3</v>
      </c>
      <c r="E89" s="22">
        <f t="shared" si="67"/>
        <v>1</v>
      </c>
      <c r="F89" s="25">
        <f t="shared" si="68"/>
        <v>4</v>
      </c>
      <c r="G89" s="6">
        <f t="shared" si="69"/>
        <v>0.4</v>
      </c>
      <c r="H89" s="4">
        <f t="shared" si="70"/>
        <v>3</v>
      </c>
      <c r="I89" s="6">
        <f t="shared" si="71"/>
        <v>0.8</v>
      </c>
      <c r="J89" s="4">
        <f t="shared" si="72"/>
        <v>1500</v>
      </c>
      <c r="K89" s="6">
        <f t="shared" si="73"/>
        <v>1</v>
      </c>
      <c r="L89" s="4">
        <f>IdxFlag</f>
        <v>6</v>
      </c>
      <c r="M89" s="4">
        <f>50</f>
        <v>50</v>
      </c>
      <c r="N89" s="6">
        <f>0</f>
        <v>0</v>
      </c>
      <c r="O89" s="25">
        <f t="shared" si="74"/>
        <v>12</v>
      </c>
      <c r="P89" s="25">
        <f t="shared" si="75"/>
        <v>960</v>
      </c>
      <c r="Q89" s="25">
        <f t="shared" si="76"/>
        <v>2880</v>
      </c>
      <c r="R89" s="25">
        <f t="shared" si="77"/>
        <v>21120</v>
      </c>
      <c r="S89" s="25">
        <f t="shared" si="78"/>
        <v>18000</v>
      </c>
      <c r="T89" s="30">
        <f t="shared" si="79"/>
        <v>32</v>
      </c>
      <c r="U89" s="30">
        <f t="shared" si="80"/>
        <v>0.4</v>
      </c>
      <c r="V89" s="30">
        <f t="shared" si="81"/>
        <v>64</v>
      </c>
      <c r="W89" s="30">
        <f t="shared" si="82"/>
        <v>4</v>
      </c>
      <c r="X89" s="30">
        <f t="shared" si="83"/>
        <v>0.4</v>
      </c>
      <c r="Y89" s="7">
        <f t="shared" si="84"/>
        <v>0.37712639999999997</v>
      </c>
      <c r="Z89" s="7">
        <f t="shared" si="85"/>
        <v>9.4281599999999993E-2</v>
      </c>
      <c r="AA89" s="25">
        <f t="shared" si="86"/>
        <v>8</v>
      </c>
      <c r="AB89" s="25">
        <f t="shared" si="87"/>
        <v>24</v>
      </c>
      <c r="AC89" s="25">
        <f t="shared" si="88"/>
        <v>80</v>
      </c>
      <c r="AD89" s="25">
        <f t="shared" si="89"/>
        <v>8</v>
      </c>
      <c r="AE89" s="25">
        <f t="shared" si="90"/>
        <v>24</v>
      </c>
      <c r="AF89" s="25">
        <f t="shared" si="91"/>
        <v>50</v>
      </c>
      <c r="AG89" s="25">
        <f t="shared" si="92"/>
        <v>19.899999999999999</v>
      </c>
      <c r="AH89" s="30">
        <f t="shared" si="93"/>
        <v>1.8762038399999996</v>
      </c>
      <c r="AI89" s="25">
        <f t="shared" si="94"/>
        <v>11340000</v>
      </c>
      <c r="AJ89" s="25">
        <f t="shared" si="95"/>
        <v>3402000</v>
      </c>
      <c r="AK89" s="33">
        <f t="shared" si="96"/>
        <v>19148536.391039997</v>
      </c>
      <c r="AL89" s="33">
        <f t="shared" si="97"/>
        <v>0</v>
      </c>
      <c r="AM89" s="5">
        <f t="shared" si="98"/>
        <v>0.66363267372573587</v>
      </c>
    </row>
    <row r="90" spans="1:39" x14ac:dyDescent="0.45">
      <c r="A90" t="s">
        <v>550</v>
      </c>
      <c r="B90" t="s">
        <v>551</v>
      </c>
      <c r="C90" s="6">
        <f t="shared" si="65"/>
        <v>0.1</v>
      </c>
      <c r="D90" s="6">
        <f t="shared" si="66"/>
        <v>0.3</v>
      </c>
      <c r="E90" s="22">
        <f t="shared" si="67"/>
        <v>1</v>
      </c>
      <c r="F90" s="25">
        <f t="shared" si="68"/>
        <v>4</v>
      </c>
      <c r="G90" s="6">
        <f t="shared" si="69"/>
        <v>0.4</v>
      </c>
      <c r="H90" s="4">
        <f t="shared" si="70"/>
        <v>3</v>
      </c>
      <c r="I90" s="6">
        <f t="shared" si="71"/>
        <v>0.8</v>
      </c>
      <c r="J90" s="4">
        <f t="shared" si="72"/>
        <v>1500</v>
      </c>
      <c r="K90" s="6">
        <f t="shared" si="73"/>
        <v>1</v>
      </c>
      <c r="L90" s="4">
        <f>IdxMini</f>
        <v>5</v>
      </c>
      <c r="M90" s="4">
        <f>55</f>
        <v>55</v>
      </c>
      <c r="N90" s="6">
        <f>0</f>
        <v>0</v>
      </c>
      <c r="O90" s="25">
        <f t="shared" si="74"/>
        <v>12</v>
      </c>
      <c r="P90" s="25">
        <f t="shared" si="75"/>
        <v>960</v>
      </c>
      <c r="Q90" s="25">
        <f t="shared" si="76"/>
        <v>2880</v>
      </c>
      <c r="R90" s="25">
        <f t="shared" si="77"/>
        <v>21120</v>
      </c>
      <c r="S90" s="25">
        <f t="shared" si="78"/>
        <v>18000</v>
      </c>
      <c r="T90" s="30">
        <f t="shared" si="79"/>
        <v>10</v>
      </c>
      <c r="U90" s="30">
        <f t="shared" si="80"/>
        <v>0.3</v>
      </c>
      <c r="V90" s="30">
        <f t="shared" si="81"/>
        <v>20</v>
      </c>
      <c r="W90" s="30">
        <f t="shared" si="82"/>
        <v>0.6</v>
      </c>
      <c r="X90" s="30">
        <f t="shared" si="83"/>
        <v>0.06</v>
      </c>
      <c r="Y90" s="7">
        <f t="shared" si="84"/>
        <v>0.11753279999999999</v>
      </c>
      <c r="Z90" s="7">
        <f t="shared" si="85"/>
        <v>2.9383199999999998E-2</v>
      </c>
      <c r="AA90" s="25">
        <f t="shared" si="86"/>
        <v>8</v>
      </c>
      <c r="AB90" s="25">
        <f t="shared" si="87"/>
        <v>24</v>
      </c>
      <c r="AC90" s="25">
        <f t="shared" si="88"/>
        <v>80</v>
      </c>
      <c r="AD90" s="25">
        <f t="shared" si="89"/>
        <v>8</v>
      </c>
      <c r="AE90" s="25">
        <f t="shared" si="90"/>
        <v>24</v>
      </c>
      <c r="AF90" s="25">
        <f t="shared" si="91"/>
        <v>55</v>
      </c>
      <c r="AG90" s="25">
        <f t="shared" si="92"/>
        <v>20.65</v>
      </c>
      <c r="AH90" s="30">
        <f t="shared" si="93"/>
        <v>0.6067630799999999</v>
      </c>
      <c r="AI90" s="25">
        <f t="shared" si="94"/>
        <v>11340000</v>
      </c>
      <c r="AJ90" s="25">
        <f t="shared" si="95"/>
        <v>3402000</v>
      </c>
      <c r="AK90" s="33">
        <f t="shared" si="96"/>
        <v>6192623.9944799989</v>
      </c>
      <c r="AL90" s="33">
        <f t="shared" si="97"/>
        <v>0</v>
      </c>
      <c r="AM90" s="5">
        <f t="shared" si="98"/>
        <v>0.7070427549997681</v>
      </c>
    </row>
    <row r="91" spans="1:39" x14ac:dyDescent="0.45">
      <c r="A91" t="s">
        <v>552</v>
      </c>
      <c r="B91" t="s">
        <v>553</v>
      </c>
      <c r="C91" s="6">
        <f t="shared" si="65"/>
        <v>0.1</v>
      </c>
      <c r="D91" s="6">
        <f t="shared" si="66"/>
        <v>0.3</v>
      </c>
      <c r="E91" s="22">
        <f t="shared" si="67"/>
        <v>1</v>
      </c>
      <c r="F91" s="25">
        <f t="shared" si="68"/>
        <v>4</v>
      </c>
      <c r="G91" s="6">
        <f t="shared" si="69"/>
        <v>0.4</v>
      </c>
      <c r="H91" s="4">
        <f t="shared" si="70"/>
        <v>3</v>
      </c>
      <c r="I91" s="6">
        <f t="shared" si="71"/>
        <v>0.8</v>
      </c>
      <c r="J91" s="4">
        <f t="shared" si="72"/>
        <v>1500</v>
      </c>
      <c r="K91" s="6">
        <f t="shared" si="73"/>
        <v>1</v>
      </c>
      <c r="L91" s="4">
        <f>IdxFlag</f>
        <v>6</v>
      </c>
      <c r="M91" s="4">
        <f>55</f>
        <v>55</v>
      </c>
      <c r="N91" s="6">
        <f>0</f>
        <v>0</v>
      </c>
      <c r="O91" s="25">
        <f t="shared" si="74"/>
        <v>12</v>
      </c>
      <c r="P91" s="25">
        <f t="shared" si="75"/>
        <v>960</v>
      </c>
      <c r="Q91" s="25">
        <f t="shared" si="76"/>
        <v>2880</v>
      </c>
      <c r="R91" s="25">
        <f t="shared" si="77"/>
        <v>21120</v>
      </c>
      <c r="S91" s="25">
        <f t="shared" si="78"/>
        <v>18000</v>
      </c>
      <c r="T91" s="30">
        <f t="shared" si="79"/>
        <v>32</v>
      </c>
      <c r="U91" s="30">
        <f t="shared" si="80"/>
        <v>0.4</v>
      </c>
      <c r="V91" s="30">
        <f t="shared" si="81"/>
        <v>64</v>
      </c>
      <c r="W91" s="30">
        <f t="shared" si="82"/>
        <v>4</v>
      </c>
      <c r="X91" s="30">
        <f t="shared" si="83"/>
        <v>0.4</v>
      </c>
      <c r="Y91" s="7">
        <f t="shared" si="84"/>
        <v>0.37712639999999997</v>
      </c>
      <c r="Z91" s="7">
        <f t="shared" si="85"/>
        <v>9.4281599999999993E-2</v>
      </c>
      <c r="AA91" s="25">
        <f t="shared" si="86"/>
        <v>8</v>
      </c>
      <c r="AB91" s="25">
        <f t="shared" si="87"/>
        <v>24</v>
      </c>
      <c r="AC91" s="25">
        <f t="shared" si="88"/>
        <v>80</v>
      </c>
      <c r="AD91" s="25">
        <f t="shared" si="89"/>
        <v>8</v>
      </c>
      <c r="AE91" s="25">
        <f t="shared" si="90"/>
        <v>24</v>
      </c>
      <c r="AF91" s="25">
        <f t="shared" si="91"/>
        <v>55</v>
      </c>
      <c r="AG91" s="25">
        <f t="shared" si="92"/>
        <v>20.65</v>
      </c>
      <c r="AH91" s="30">
        <f t="shared" si="93"/>
        <v>1.9469150399999997</v>
      </c>
      <c r="AI91" s="25">
        <f t="shared" si="94"/>
        <v>11340000</v>
      </c>
      <c r="AJ91" s="25">
        <f t="shared" si="95"/>
        <v>3402000</v>
      </c>
      <c r="AK91" s="33">
        <f t="shared" si="96"/>
        <v>19870214.898239996</v>
      </c>
      <c r="AL91" s="33">
        <f t="shared" si="97"/>
        <v>0</v>
      </c>
      <c r="AM91" s="5">
        <f t="shared" si="98"/>
        <v>0.66121461765277323</v>
      </c>
    </row>
    <row r="92" spans="1:39" x14ac:dyDescent="0.45">
      <c r="A92" t="s">
        <v>554</v>
      </c>
      <c r="B92" t="s">
        <v>555</v>
      </c>
      <c r="C92" s="6">
        <f t="shared" si="65"/>
        <v>0.1</v>
      </c>
      <c r="D92" s="6">
        <f t="shared" si="66"/>
        <v>0.3</v>
      </c>
      <c r="E92" s="22">
        <f t="shared" si="67"/>
        <v>1</v>
      </c>
      <c r="F92" s="25">
        <f t="shared" si="68"/>
        <v>4</v>
      </c>
      <c r="G92" s="6">
        <f t="shared" si="69"/>
        <v>0.4</v>
      </c>
      <c r="H92" s="4">
        <f t="shared" si="70"/>
        <v>3</v>
      </c>
      <c r="I92" s="6">
        <f t="shared" si="71"/>
        <v>0.8</v>
      </c>
      <c r="J92" s="4">
        <f t="shared" si="72"/>
        <v>1500</v>
      </c>
      <c r="K92" s="6">
        <f t="shared" si="73"/>
        <v>1</v>
      </c>
      <c r="L92" s="4">
        <f>IdxMini</f>
        <v>5</v>
      </c>
      <c r="M92" s="4">
        <f>60</f>
        <v>60</v>
      </c>
      <c r="N92" s="6">
        <f>0</f>
        <v>0</v>
      </c>
      <c r="O92" s="25">
        <f t="shared" si="74"/>
        <v>12</v>
      </c>
      <c r="P92" s="25">
        <f t="shared" si="75"/>
        <v>960</v>
      </c>
      <c r="Q92" s="25">
        <f t="shared" si="76"/>
        <v>2880</v>
      </c>
      <c r="R92" s="25">
        <f t="shared" si="77"/>
        <v>21120</v>
      </c>
      <c r="S92" s="25">
        <f t="shared" si="78"/>
        <v>18000</v>
      </c>
      <c r="T92" s="30">
        <f t="shared" si="79"/>
        <v>10</v>
      </c>
      <c r="U92" s="30">
        <f t="shared" si="80"/>
        <v>0.3</v>
      </c>
      <c r="V92" s="30">
        <f t="shared" si="81"/>
        <v>20</v>
      </c>
      <c r="W92" s="30">
        <f t="shared" si="82"/>
        <v>0.6</v>
      </c>
      <c r="X92" s="30">
        <f t="shared" si="83"/>
        <v>0.06</v>
      </c>
      <c r="Y92" s="7">
        <f t="shared" si="84"/>
        <v>0.11753279999999999</v>
      </c>
      <c r="Z92" s="7">
        <f t="shared" si="85"/>
        <v>2.9383199999999998E-2</v>
      </c>
      <c r="AA92" s="25">
        <f t="shared" si="86"/>
        <v>8</v>
      </c>
      <c r="AB92" s="25">
        <f t="shared" si="87"/>
        <v>24</v>
      </c>
      <c r="AC92" s="25">
        <f t="shared" si="88"/>
        <v>80</v>
      </c>
      <c r="AD92" s="25">
        <f t="shared" si="89"/>
        <v>8</v>
      </c>
      <c r="AE92" s="25">
        <f t="shared" si="90"/>
        <v>24</v>
      </c>
      <c r="AF92" s="25">
        <f t="shared" si="91"/>
        <v>60</v>
      </c>
      <c r="AG92" s="25">
        <f t="shared" si="92"/>
        <v>21.4</v>
      </c>
      <c r="AH92" s="30">
        <f t="shared" si="93"/>
        <v>0.62880047999999988</v>
      </c>
      <c r="AI92" s="25">
        <f t="shared" si="94"/>
        <v>11340000</v>
      </c>
      <c r="AJ92" s="25">
        <f t="shared" si="95"/>
        <v>3402000</v>
      </c>
      <c r="AK92" s="33">
        <f t="shared" si="96"/>
        <v>6417537.6988799991</v>
      </c>
      <c r="AL92" s="33">
        <f t="shared" si="97"/>
        <v>0</v>
      </c>
      <c r="AM92" s="5">
        <f t="shared" si="98"/>
        <v>0.7062891591210062</v>
      </c>
    </row>
    <row r="93" spans="1:39" x14ac:dyDescent="0.45">
      <c r="A93" t="s">
        <v>556</v>
      </c>
      <c r="B93" t="s">
        <v>557</v>
      </c>
      <c r="C93" s="6">
        <f t="shared" si="65"/>
        <v>0.1</v>
      </c>
      <c r="D93" s="6">
        <f t="shared" si="66"/>
        <v>0.3</v>
      </c>
      <c r="E93" s="22">
        <f t="shared" si="67"/>
        <v>1</v>
      </c>
      <c r="F93" s="25">
        <f t="shared" si="68"/>
        <v>4</v>
      </c>
      <c r="G93" s="6">
        <f t="shared" si="69"/>
        <v>0.4</v>
      </c>
      <c r="H93" s="4">
        <f t="shared" si="70"/>
        <v>3</v>
      </c>
      <c r="I93" s="6">
        <f t="shared" si="71"/>
        <v>0.8</v>
      </c>
      <c r="J93" s="4">
        <f t="shared" si="72"/>
        <v>1500</v>
      </c>
      <c r="K93" s="6">
        <f t="shared" si="73"/>
        <v>1</v>
      </c>
      <c r="L93" s="4">
        <f>IdxFlag</f>
        <v>6</v>
      </c>
      <c r="M93" s="4">
        <f>60</f>
        <v>60</v>
      </c>
      <c r="N93" s="6">
        <f>0</f>
        <v>0</v>
      </c>
      <c r="O93" s="25">
        <f t="shared" si="74"/>
        <v>12</v>
      </c>
      <c r="P93" s="25">
        <f t="shared" si="75"/>
        <v>960</v>
      </c>
      <c r="Q93" s="25">
        <f t="shared" si="76"/>
        <v>2880</v>
      </c>
      <c r="R93" s="25">
        <f t="shared" si="77"/>
        <v>21120</v>
      </c>
      <c r="S93" s="25">
        <f t="shared" si="78"/>
        <v>18000</v>
      </c>
      <c r="T93" s="30">
        <f t="shared" si="79"/>
        <v>32</v>
      </c>
      <c r="U93" s="30">
        <f t="shared" si="80"/>
        <v>0.4</v>
      </c>
      <c r="V93" s="30">
        <f t="shared" si="81"/>
        <v>64</v>
      </c>
      <c r="W93" s="30">
        <f t="shared" si="82"/>
        <v>4</v>
      </c>
      <c r="X93" s="30">
        <f t="shared" si="83"/>
        <v>0.4</v>
      </c>
      <c r="Y93" s="7">
        <f t="shared" si="84"/>
        <v>0.37712639999999997</v>
      </c>
      <c r="Z93" s="7">
        <f t="shared" si="85"/>
        <v>9.4281599999999993E-2</v>
      </c>
      <c r="AA93" s="25">
        <f t="shared" si="86"/>
        <v>8</v>
      </c>
      <c r="AB93" s="25">
        <f t="shared" si="87"/>
        <v>24</v>
      </c>
      <c r="AC93" s="25">
        <f t="shared" si="88"/>
        <v>80</v>
      </c>
      <c r="AD93" s="25">
        <f t="shared" si="89"/>
        <v>8</v>
      </c>
      <c r="AE93" s="25">
        <f t="shared" si="90"/>
        <v>24</v>
      </c>
      <c r="AF93" s="25">
        <f t="shared" si="91"/>
        <v>60</v>
      </c>
      <c r="AG93" s="25">
        <f t="shared" si="92"/>
        <v>21.4</v>
      </c>
      <c r="AH93" s="30">
        <f t="shared" si="93"/>
        <v>2.0176262399999998</v>
      </c>
      <c r="AI93" s="25">
        <f t="shared" si="94"/>
        <v>11340000</v>
      </c>
      <c r="AJ93" s="25">
        <f t="shared" si="95"/>
        <v>3402000</v>
      </c>
      <c r="AK93" s="33">
        <f t="shared" si="96"/>
        <v>20591893.405439999</v>
      </c>
      <c r="AL93" s="33">
        <f t="shared" si="97"/>
        <v>0</v>
      </c>
      <c r="AM93" s="5">
        <f t="shared" si="98"/>
        <v>0.65879656157981059</v>
      </c>
    </row>
    <row r="94" spans="1:39" x14ac:dyDescent="0.45">
      <c r="A94" t="s">
        <v>558</v>
      </c>
      <c r="B94" t="s">
        <v>559</v>
      </c>
      <c r="C94" s="6">
        <f t="shared" si="65"/>
        <v>0.1</v>
      </c>
      <c r="D94" s="6">
        <f t="shared" si="66"/>
        <v>0.3</v>
      </c>
      <c r="E94" s="22">
        <f t="shared" si="67"/>
        <v>1</v>
      </c>
      <c r="F94" s="25">
        <f t="shared" si="68"/>
        <v>4</v>
      </c>
      <c r="G94" s="6">
        <f t="shared" si="69"/>
        <v>0.4</v>
      </c>
      <c r="H94" s="4">
        <f t="shared" si="70"/>
        <v>3</v>
      </c>
      <c r="I94" s="6">
        <f t="shared" si="71"/>
        <v>0.8</v>
      </c>
      <c r="J94" s="4">
        <f t="shared" si="72"/>
        <v>1500</v>
      </c>
      <c r="K94" s="6">
        <f t="shared" si="73"/>
        <v>1</v>
      </c>
      <c r="L94" s="4">
        <f>IdxMini</f>
        <v>5</v>
      </c>
      <c r="M94" s="4">
        <f>65</f>
        <v>65</v>
      </c>
      <c r="N94" s="6">
        <f>0</f>
        <v>0</v>
      </c>
      <c r="O94" s="25">
        <f t="shared" si="74"/>
        <v>12</v>
      </c>
      <c r="P94" s="25">
        <f t="shared" si="75"/>
        <v>960</v>
      </c>
      <c r="Q94" s="25">
        <f t="shared" si="76"/>
        <v>2880</v>
      </c>
      <c r="R94" s="25">
        <f t="shared" si="77"/>
        <v>21120</v>
      </c>
      <c r="S94" s="25">
        <f t="shared" si="78"/>
        <v>18000</v>
      </c>
      <c r="T94" s="30">
        <f t="shared" si="79"/>
        <v>10</v>
      </c>
      <c r="U94" s="30">
        <f t="shared" si="80"/>
        <v>0.3</v>
      </c>
      <c r="V94" s="30">
        <f t="shared" si="81"/>
        <v>20</v>
      </c>
      <c r="W94" s="30">
        <f t="shared" si="82"/>
        <v>0.6</v>
      </c>
      <c r="X94" s="30">
        <f t="shared" si="83"/>
        <v>0.06</v>
      </c>
      <c r="Y94" s="7">
        <f t="shared" si="84"/>
        <v>0.11753279999999999</v>
      </c>
      <c r="Z94" s="7">
        <f t="shared" si="85"/>
        <v>2.9383199999999998E-2</v>
      </c>
      <c r="AA94" s="25">
        <f t="shared" si="86"/>
        <v>8</v>
      </c>
      <c r="AB94" s="25">
        <f t="shared" si="87"/>
        <v>24</v>
      </c>
      <c r="AC94" s="25">
        <f t="shared" si="88"/>
        <v>80</v>
      </c>
      <c r="AD94" s="25">
        <f t="shared" si="89"/>
        <v>8</v>
      </c>
      <c r="AE94" s="25">
        <f t="shared" si="90"/>
        <v>24</v>
      </c>
      <c r="AF94" s="25">
        <f t="shared" si="91"/>
        <v>65</v>
      </c>
      <c r="AG94" s="25">
        <f t="shared" si="92"/>
        <v>22.15</v>
      </c>
      <c r="AH94" s="30">
        <f t="shared" si="93"/>
        <v>0.65083787999999987</v>
      </c>
      <c r="AI94" s="25">
        <f t="shared" si="94"/>
        <v>11340000</v>
      </c>
      <c r="AJ94" s="25">
        <f t="shared" si="95"/>
        <v>3402000</v>
      </c>
      <c r="AK94" s="33">
        <f t="shared" si="96"/>
        <v>6642451.4032799983</v>
      </c>
      <c r="AL94" s="33">
        <f t="shared" si="97"/>
        <v>0</v>
      </c>
      <c r="AM94" s="5">
        <f t="shared" si="98"/>
        <v>0.70553556324224431</v>
      </c>
    </row>
    <row r="95" spans="1:39" x14ac:dyDescent="0.45">
      <c r="A95" t="s">
        <v>560</v>
      </c>
      <c r="B95" t="s">
        <v>561</v>
      </c>
      <c r="C95" s="6">
        <f t="shared" si="65"/>
        <v>0.1</v>
      </c>
      <c r="D95" s="6">
        <f t="shared" si="66"/>
        <v>0.3</v>
      </c>
      <c r="E95" s="22">
        <f t="shared" si="67"/>
        <v>1</v>
      </c>
      <c r="F95" s="25">
        <f t="shared" si="68"/>
        <v>4</v>
      </c>
      <c r="G95" s="6">
        <f t="shared" si="69"/>
        <v>0.4</v>
      </c>
      <c r="H95" s="4">
        <f t="shared" si="70"/>
        <v>3</v>
      </c>
      <c r="I95" s="6">
        <f t="shared" si="71"/>
        <v>0.8</v>
      </c>
      <c r="J95" s="4">
        <f t="shared" si="72"/>
        <v>1500</v>
      </c>
      <c r="K95" s="6">
        <f t="shared" si="73"/>
        <v>1</v>
      </c>
      <c r="L95" s="4">
        <f>IdxFlag</f>
        <v>6</v>
      </c>
      <c r="M95" s="4">
        <f>65</f>
        <v>65</v>
      </c>
      <c r="N95" s="6">
        <f>0</f>
        <v>0</v>
      </c>
      <c r="O95" s="25">
        <f t="shared" si="74"/>
        <v>12</v>
      </c>
      <c r="P95" s="25">
        <f t="shared" si="75"/>
        <v>960</v>
      </c>
      <c r="Q95" s="25">
        <f t="shared" si="76"/>
        <v>2880</v>
      </c>
      <c r="R95" s="25">
        <f t="shared" si="77"/>
        <v>21120</v>
      </c>
      <c r="S95" s="25">
        <f t="shared" si="78"/>
        <v>18000</v>
      </c>
      <c r="T95" s="30">
        <f t="shared" si="79"/>
        <v>32</v>
      </c>
      <c r="U95" s="30">
        <f t="shared" si="80"/>
        <v>0.4</v>
      </c>
      <c r="V95" s="30">
        <f t="shared" si="81"/>
        <v>64</v>
      </c>
      <c r="W95" s="30">
        <f t="shared" si="82"/>
        <v>4</v>
      </c>
      <c r="X95" s="30">
        <f t="shared" si="83"/>
        <v>0.4</v>
      </c>
      <c r="Y95" s="7">
        <f t="shared" si="84"/>
        <v>0.37712639999999997</v>
      </c>
      <c r="Z95" s="7">
        <f t="shared" si="85"/>
        <v>9.4281599999999993E-2</v>
      </c>
      <c r="AA95" s="25">
        <f t="shared" si="86"/>
        <v>8</v>
      </c>
      <c r="AB95" s="25">
        <f t="shared" si="87"/>
        <v>24</v>
      </c>
      <c r="AC95" s="25">
        <f t="shared" si="88"/>
        <v>80</v>
      </c>
      <c r="AD95" s="25">
        <f t="shared" si="89"/>
        <v>8</v>
      </c>
      <c r="AE95" s="25">
        <f t="shared" si="90"/>
        <v>24</v>
      </c>
      <c r="AF95" s="25">
        <f t="shared" si="91"/>
        <v>65</v>
      </c>
      <c r="AG95" s="25">
        <f t="shared" si="92"/>
        <v>22.15</v>
      </c>
      <c r="AH95" s="30">
        <f t="shared" si="93"/>
        <v>2.0883374399999997</v>
      </c>
      <c r="AI95" s="25">
        <f t="shared" si="94"/>
        <v>11340000</v>
      </c>
      <c r="AJ95" s="25">
        <f t="shared" si="95"/>
        <v>3402000</v>
      </c>
      <c r="AK95" s="33">
        <f t="shared" si="96"/>
        <v>21313571.912639998</v>
      </c>
      <c r="AL95" s="33">
        <f t="shared" si="97"/>
        <v>0</v>
      </c>
      <c r="AM95" s="5">
        <f t="shared" si="98"/>
        <v>0.65637850550684795</v>
      </c>
    </row>
    <row r="96" spans="1:39" x14ac:dyDescent="0.45">
      <c r="A96" t="s">
        <v>562</v>
      </c>
      <c r="B96" t="s">
        <v>563</v>
      </c>
      <c r="C96" s="6">
        <f t="shared" si="65"/>
        <v>0.1</v>
      </c>
      <c r="D96" s="6">
        <f t="shared" si="66"/>
        <v>0.3</v>
      </c>
      <c r="E96" s="22">
        <f t="shared" si="67"/>
        <v>1</v>
      </c>
      <c r="F96" s="25">
        <f t="shared" si="68"/>
        <v>4</v>
      </c>
      <c r="G96" s="6">
        <f t="shared" si="69"/>
        <v>0.4</v>
      </c>
      <c r="H96" s="4">
        <f t="shared" si="70"/>
        <v>3</v>
      </c>
      <c r="I96" s="6">
        <f t="shared" si="71"/>
        <v>0.8</v>
      </c>
      <c r="J96" s="4">
        <f t="shared" si="72"/>
        <v>1500</v>
      </c>
      <c r="K96" s="6">
        <f t="shared" si="73"/>
        <v>1</v>
      </c>
      <c r="L96" s="4">
        <f>IdxMini</f>
        <v>5</v>
      </c>
      <c r="M96" s="4">
        <f>70</f>
        <v>70</v>
      </c>
      <c r="N96" s="6">
        <f>0</f>
        <v>0</v>
      </c>
      <c r="O96" s="25">
        <f t="shared" si="74"/>
        <v>12</v>
      </c>
      <c r="P96" s="25">
        <f t="shared" si="75"/>
        <v>960</v>
      </c>
      <c r="Q96" s="25">
        <f t="shared" si="76"/>
        <v>2880</v>
      </c>
      <c r="R96" s="25">
        <f t="shared" si="77"/>
        <v>21120</v>
      </c>
      <c r="S96" s="25">
        <f t="shared" si="78"/>
        <v>18000</v>
      </c>
      <c r="T96" s="30">
        <f t="shared" si="79"/>
        <v>10</v>
      </c>
      <c r="U96" s="30">
        <f t="shared" si="80"/>
        <v>0.3</v>
      </c>
      <c r="V96" s="30">
        <f t="shared" si="81"/>
        <v>20</v>
      </c>
      <c r="W96" s="30">
        <f t="shared" si="82"/>
        <v>0.6</v>
      </c>
      <c r="X96" s="30">
        <f t="shared" si="83"/>
        <v>0.06</v>
      </c>
      <c r="Y96" s="7">
        <f t="shared" si="84"/>
        <v>0.11753279999999999</v>
      </c>
      <c r="Z96" s="7">
        <f t="shared" si="85"/>
        <v>2.9383199999999998E-2</v>
      </c>
      <c r="AA96" s="25">
        <f t="shared" si="86"/>
        <v>8</v>
      </c>
      <c r="AB96" s="25">
        <f t="shared" si="87"/>
        <v>24</v>
      </c>
      <c r="AC96" s="25">
        <f t="shared" si="88"/>
        <v>80</v>
      </c>
      <c r="AD96" s="25">
        <f t="shared" si="89"/>
        <v>8</v>
      </c>
      <c r="AE96" s="25">
        <f t="shared" si="90"/>
        <v>24</v>
      </c>
      <c r="AF96" s="25">
        <f t="shared" si="91"/>
        <v>70</v>
      </c>
      <c r="AG96" s="25">
        <f t="shared" si="92"/>
        <v>22.9</v>
      </c>
      <c r="AH96" s="30">
        <f t="shared" si="93"/>
        <v>0.67287527999999996</v>
      </c>
      <c r="AI96" s="25">
        <f t="shared" si="94"/>
        <v>11340000</v>
      </c>
      <c r="AJ96" s="25">
        <f t="shared" si="95"/>
        <v>3402000</v>
      </c>
      <c r="AK96" s="33">
        <f t="shared" si="96"/>
        <v>6867365.1076799985</v>
      </c>
      <c r="AL96" s="33">
        <f t="shared" si="97"/>
        <v>0</v>
      </c>
      <c r="AM96" s="5">
        <f t="shared" si="98"/>
        <v>0.70478196736348242</v>
      </c>
    </row>
    <row r="97" spans="1:39" x14ac:dyDescent="0.45">
      <c r="A97" t="s">
        <v>564</v>
      </c>
      <c r="B97" t="s">
        <v>565</v>
      </c>
      <c r="C97" s="6">
        <f t="shared" si="65"/>
        <v>0.1</v>
      </c>
      <c r="D97" s="6">
        <f t="shared" si="66"/>
        <v>0.3</v>
      </c>
      <c r="E97" s="22">
        <f t="shared" si="67"/>
        <v>1</v>
      </c>
      <c r="F97" s="25">
        <f t="shared" si="68"/>
        <v>4</v>
      </c>
      <c r="G97" s="6">
        <f t="shared" si="69"/>
        <v>0.4</v>
      </c>
      <c r="H97" s="4">
        <f t="shared" si="70"/>
        <v>3</v>
      </c>
      <c r="I97" s="6">
        <f t="shared" si="71"/>
        <v>0.8</v>
      </c>
      <c r="J97" s="4">
        <f t="shared" si="72"/>
        <v>1500</v>
      </c>
      <c r="K97" s="6">
        <f t="shared" si="73"/>
        <v>1</v>
      </c>
      <c r="L97" s="4">
        <f>IdxFlag</f>
        <v>6</v>
      </c>
      <c r="M97" s="4">
        <f>70</f>
        <v>70</v>
      </c>
      <c r="N97" s="6">
        <f>0</f>
        <v>0</v>
      </c>
      <c r="O97" s="25">
        <f t="shared" si="74"/>
        <v>12</v>
      </c>
      <c r="P97" s="25">
        <f t="shared" si="75"/>
        <v>960</v>
      </c>
      <c r="Q97" s="25">
        <f t="shared" si="76"/>
        <v>2880</v>
      </c>
      <c r="R97" s="25">
        <f t="shared" si="77"/>
        <v>21120</v>
      </c>
      <c r="S97" s="25">
        <f t="shared" si="78"/>
        <v>18000</v>
      </c>
      <c r="T97" s="30">
        <f t="shared" si="79"/>
        <v>32</v>
      </c>
      <c r="U97" s="30">
        <f t="shared" si="80"/>
        <v>0.4</v>
      </c>
      <c r="V97" s="30">
        <f t="shared" si="81"/>
        <v>64</v>
      </c>
      <c r="W97" s="30">
        <f t="shared" si="82"/>
        <v>4</v>
      </c>
      <c r="X97" s="30">
        <f t="shared" si="83"/>
        <v>0.4</v>
      </c>
      <c r="Y97" s="7">
        <f t="shared" si="84"/>
        <v>0.37712639999999997</v>
      </c>
      <c r="Z97" s="7">
        <f t="shared" si="85"/>
        <v>9.4281599999999993E-2</v>
      </c>
      <c r="AA97" s="25">
        <f t="shared" si="86"/>
        <v>8</v>
      </c>
      <c r="AB97" s="25">
        <f t="shared" si="87"/>
        <v>24</v>
      </c>
      <c r="AC97" s="25">
        <f t="shared" si="88"/>
        <v>80</v>
      </c>
      <c r="AD97" s="25">
        <f t="shared" si="89"/>
        <v>8</v>
      </c>
      <c r="AE97" s="25">
        <f t="shared" si="90"/>
        <v>24</v>
      </c>
      <c r="AF97" s="25">
        <f t="shared" si="91"/>
        <v>70</v>
      </c>
      <c r="AG97" s="25">
        <f t="shared" si="92"/>
        <v>22.9</v>
      </c>
      <c r="AH97" s="30">
        <f t="shared" si="93"/>
        <v>2.1590486399999995</v>
      </c>
      <c r="AI97" s="25">
        <f t="shared" si="94"/>
        <v>11340000</v>
      </c>
      <c r="AJ97" s="25">
        <f t="shared" si="95"/>
        <v>3402000</v>
      </c>
      <c r="AK97" s="33">
        <f t="shared" si="96"/>
        <v>22035250.419839997</v>
      </c>
      <c r="AL97" s="33">
        <f t="shared" si="97"/>
        <v>0</v>
      </c>
      <c r="AM97" s="5">
        <f t="shared" si="98"/>
        <v>0.6539604494338852</v>
      </c>
    </row>
    <row r="98" spans="1:39" x14ac:dyDescent="0.45">
      <c r="A98" t="s">
        <v>566</v>
      </c>
      <c r="B98" t="s">
        <v>567</v>
      </c>
      <c r="C98" s="6">
        <f t="shared" si="65"/>
        <v>0.1</v>
      </c>
      <c r="D98" s="6">
        <f t="shared" si="66"/>
        <v>0.3</v>
      </c>
      <c r="E98" s="22">
        <f t="shared" si="67"/>
        <v>1</v>
      </c>
      <c r="F98" s="25">
        <f t="shared" si="68"/>
        <v>4</v>
      </c>
      <c r="G98" s="6">
        <f t="shared" si="69"/>
        <v>0.4</v>
      </c>
      <c r="H98" s="4">
        <f t="shared" si="70"/>
        <v>3</v>
      </c>
      <c r="I98" s="6">
        <f t="shared" si="71"/>
        <v>0.8</v>
      </c>
      <c r="J98" s="4">
        <f t="shared" si="72"/>
        <v>1500</v>
      </c>
      <c r="K98" s="6">
        <f t="shared" si="73"/>
        <v>1</v>
      </c>
      <c r="L98" s="4">
        <f>IdxMini</f>
        <v>5</v>
      </c>
      <c r="M98" s="4">
        <f>75</f>
        <v>75</v>
      </c>
      <c r="N98" s="6">
        <f>0</f>
        <v>0</v>
      </c>
      <c r="O98" s="25">
        <f t="shared" si="74"/>
        <v>12</v>
      </c>
      <c r="P98" s="25">
        <f t="shared" si="75"/>
        <v>960</v>
      </c>
      <c r="Q98" s="25">
        <f t="shared" si="76"/>
        <v>2880</v>
      </c>
      <c r="R98" s="25">
        <f t="shared" si="77"/>
        <v>21120</v>
      </c>
      <c r="S98" s="25">
        <f t="shared" si="78"/>
        <v>18000</v>
      </c>
      <c r="T98" s="30">
        <f t="shared" si="79"/>
        <v>10</v>
      </c>
      <c r="U98" s="30">
        <f t="shared" si="80"/>
        <v>0.3</v>
      </c>
      <c r="V98" s="30">
        <f t="shared" si="81"/>
        <v>20</v>
      </c>
      <c r="W98" s="30">
        <f t="shared" si="82"/>
        <v>0.6</v>
      </c>
      <c r="X98" s="30">
        <f t="shared" si="83"/>
        <v>0.06</v>
      </c>
      <c r="Y98" s="7">
        <f t="shared" si="84"/>
        <v>0.11753279999999999</v>
      </c>
      <c r="Z98" s="7">
        <f t="shared" si="85"/>
        <v>2.9383199999999998E-2</v>
      </c>
      <c r="AA98" s="25">
        <f t="shared" si="86"/>
        <v>8</v>
      </c>
      <c r="AB98" s="25">
        <f t="shared" si="87"/>
        <v>24</v>
      </c>
      <c r="AC98" s="25">
        <f t="shared" si="88"/>
        <v>80</v>
      </c>
      <c r="AD98" s="25">
        <f t="shared" si="89"/>
        <v>8</v>
      </c>
      <c r="AE98" s="25">
        <f t="shared" si="90"/>
        <v>24</v>
      </c>
      <c r="AF98" s="25">
        <f t="shared" si="91"/>
        <v>75</v>
      </c>
      <c r="AG98" s="25">
        <f t="shared" si="92"/>
        <v>23.65</v>
      </c>
      <c r="AH98" s="30">
        <f t="shared" si="93"/>
        <v>0.69491267999999995</v>
      </c>
      <c r="AI98" s="25">
        <f t="shared" si="94"/>
        <v>11340000</v>
      </c>
      <c r="AJ98" s="25">
        <f t="shared" si="95"/>
        <v>3402000</v>
      </c>
      <c r="AK98" s="33">
        <f t="shared" si="96"/>
        <v>7092278.8120799996</v>
      </c>
      <c r="AL98" s="33">
        <f t="shared" si="97"/>
        <v>0</v>
      </c>
      <c r="AM98" s="5">
        <f t="shared" si="98"/>
        <v>0.70402837148472053</v>
      </c>
    </row>
    <row r="99" spans="1:39" x14ac:dyDescent="0.45">
      <c r="A99" t="s">
        <v>568</v>
      </c>
      <c r="B99" t="s">
        <v>569</v>
      </c>
      <c r="C99" s="6">
        <f t="shared" si="65"/>
        <v>0.1</v>
      </c>
      <c r="D99" s="6">
        <f t="shared" si="66"/>
        <v>0.3</v>
      </c>
      <c r="E99" s="22">
        <f t="shared" si="67"/>
        <v>1</v>
      </c>
      <c r="F99" s="25">
        <f t="shared" si="68"/>
        <v>4</v>
      </c>
      <c r="G99" s="6">
        <f t="shared" si="69"/>
        <v>0.4</v>
      </c>
      <c r="H99" s="4">
        <f t="shared" si="70"/>
        <v>3</v>
      </c>
      <c r="I99" s="6">
        <f t="shared" si="71"/>
        <v>0.8</v>
      </c>
      <c r="J99" s="4">
        <f t="shared" si="72"/>
        <v>1500</v>
      </c>
      <c r="K99" s="6">
        <f t="shared" si="73"/>
        <v>1</v>
      </c>
      <c r="L99" s="4">
        <f>IdxFlag</f>
        <v>6</v>
      </c>
      <c r="M99" s="4">
        <f>75</f>
        <v>75</v>
      </c>
      <c r="N99" s="6">
        <f>0</f>
        <v>0</v>
      </c>
      <c r="O99" s="25">
        <f t="shared" si="74"/>
        <v>12</v>
      </c>
      <c r="P99" s="25">
        <f t="shared" si="75"/>
        <v>960</v>
      </c>
      <c r="Q99" s="25">
        <f t="shared" si="76"/>
        <v>2880</v>
      </c>
      <c r="R99" s="25">
        <f t="shared" si="77"/>
        <v>21120</v>
      </c>
      <c r="S99" s="25">
        <f t="shared" si="78"/>
        <v>18000</v>
      </c>
      <c r="T99" s="30">
        <f t="shared" si="79"/>
        <v>32</v>
      </c>
      <c r="U99" s="30">
        <f t="shared" si="80"/>
        <v>0.4</v>
      </c>
      <c r="V99" s="30">
        <f t="shared" si="81"/>
        <v>64</v>
      </c>
      <c r="W99" s="30">
        <f t="shared" si="82"/>
        <v>4</v>
      </c>
      <c r="X99" s="30">
        <f t="shared" si="83"/>
        <v>0.4</v>
      </c>
      <c r="Y99" s="7">
        <f t="shared" si="84"/>
        <v>0.37712639999999997</v>
      </c>
      <c r="Z99" s="7">
        <f t="shared" si="85"/>
        <v>9.4281599999999993E-2</v>
      </c>
      <c r="AA99" s="25">
        <f t="shared" si="86"/>
        <v>8</v>
      </c>
      <c r="AB99" s="25">
        <f t="shared" si="87"/>
        <v>24</v>
      </c>
      <c r="AC99" s="25">
        <f t="shared" si="88"/>
        <v>80</v>
      </c>
      <c r="AD99" s="25">
        <f t="shared" si="89"/>
        <v>8</v>
      </c>
      <c r="AE99" s="25">
        <f t="shared" si="90"/>
        <v>24</v>
      </c>
      <c r="AF99" s="25">
        <f t="shared" si="91"/>
        <v>75</v>
      </c>
      <c r="AG99" s="25">
        <f t="shared" si="92"/>
        <v>23.65</v>
      </c>
      <c r="AH99" s="30">
        <f t="shared" si="93"/>
        <v>2.2297598399999998</v>
      </c>
      <c r="AI99" s="25">
        <f t="shared" si="94"/>
        <v>11340000</v>
      </c>
      <c r="AJ99" s="25">
        <f t="shared" si="95"/>
        <v>3402000</v>
      </c>
      <c r="AK99" s="33">
        <f t="shared" si="96"/>
        <v>22756928.927039996</v>
      </c>
      <c r="AL99" s="33">
        <f t="shared" si="97"/>
        <v>0</v>
      </c>
      <c r="AM99" s="5">
        <f t="shared" si="98"/>
        <v>0.65154239336092257</v>
      </c>
    </row>
    <row r="100" spans="1:39" x14ac:dyDescent="0.45">
      <c r="A100" t="s">
        <v>570</v>
      </c>
      <c r="B100" t="s">
        <v>571</v>
      </c>
      <c r="C100" s="6">
        <f t="shared" ref="C100:C128" si="99">D_maxShare</f>
        <v>0.1</v>
      </c>
      <c r="D100" s="6">
        <f t="shared" ref="D100:D123" si="100">D_adoptSuper</f>
        <v>0.3</v>
      </c>
      <c r="E100" s="22">
        <f t="shared" ref="E100:E128" si="101">D_callsScale</f>
        <v>1</v>
      </c>
      <c r="F100" s="25">
        <f t="shared" ref="F100:F128" si="102">D_L</f>
        <v>4</v>
      </c>
      <c r="G100" s="6">
        <f t="shared" ref="G100:G128" si="103">D_s</f>
        <v>0.4</v>
      </c>
      <c r="H100" s="4">
        <f t="shared" ref="H100:H128" si="104">D_r</f>
        <v>3</v>
      </c>
      <c r="I100" s="6">
        <f t="shared" ref="I100:I117" si="105">D_c</f>
        <v>0.8</v>
      </c>
      <c r="J100" s="4">
        <f t="shared" ref="J100:J128" si="106">D_sysTok</f>
        <v>1500</v>
      </c>
      <c r="K100" s="6">
        <f t="shared" ref="K100:K128" si="107">D_realization</f>
        <v>1</v>
      </c>
      <c r="L100" s="4">
        <f>IdxMini</f>
        <v>5</v>
      </c>
      <c r="M100" s="4">
        <f>80</f>
        <v>80</v>
      </c>
      <c r="N100" s="6">
        <f>0</f>
        <v>0</v>
      </c>
      <c r="O100" s="25">
        <f t="shared" si="74"/>
        <v>12</v>
      </c>
      <c r="P100" s="25">
        <f t="shared" si="75"/>
        <v>960</v>
      </c>
      <c r="Q100" s="25">
        <f t="shared" si="76"/>
        <v>2880</v>
      </c>
      <c r="R100" s="25">
        <f t="shared" si="77"/>
        <v>21120</v>
      </c>
      <c r="S100" s="25">
        <f t="shared" si="78"/>
        <v>18000</v>
      </c>
      <c r="T100" s="30">
        <f t="shared" si="79"/>
        <v>10</v>
      </c>
      <c r="U100" s="30">
        <f t="shared" si="80"/>
        <v>0.3</v>
      </c>
      <c r="V100" s="30">
        <f t="shared" si="81"/>
        <v>20</v>
      </c>
      <c r="W100" s="30">
        <f t="shared" si="82"/>
        <v>0.6</v>
      </c>
      <c r="X100" s="30">
        <f t="shared" si="83"/>
        <v>0.06</v>
      </c>
      <c r="Y100" s="7">
        <f t="shared" si="84"/>
        <v>0.11753279999999999</v>
      </c>
      <c r="Z100" s="7">
        <f t="shared" si="85"/>
        <v>2.9383199999999998E-2</v>
      </c>
      <c r="AA100" s="25">
        <f t="shared" si="86"/>
        <v>8</v>
      </c>
      <c r="AB100" s="25">
        <f t="shared" si="87"/>
        <v>24</v>
      </c>
      <c r="AC100" s="25">
        <f t="shared" si="88"/>
        <v>80</v>
      </c>
      <c r="AD100" s="25">
        <f t="shared" si="89"/>
        <v>8</v>
      </c>
      <c r="AE100" s="25">
        <f t="shared" si="90"/>
        <v>24</v>
      </c>
      <c r="AF100" s="25">
        <f t="shared" si="91"/>
        <v>80</v>
      </c>
      <c r="AG100" s="25">
        <f t="shared" si="92"/>
        <v>24.4</v>
      </c>
      <c r="AH100" s="30">
        <f t="shared" si="93"/>
        <v>0.71695007999999993</v>
      </c>
      <c r="AI100" s="25">
        <f t="shared" si="94"/>
        <v>11340000</v>
      </c>
      <c r="AJ100" s="25">
        <f t="shared" si="95"/>
        <v>3402000</v>
      </c>
      <c r="AK100" s="33">
        <f t="shared" si="96"/>
        <v>7317192.5164799988</v>
      </c>
      <c r="AL100" s="33">
        <f t="shared" si="97"/>
        <v>0</v>
      </c>
      <c r="AM100" s="5">
        <f t="shared" si="98"/>
        <v>0.70327477560595864</v>
      </c>
    </row>
    <row r="101" spans="1:39" x14ac:dyDescent="0.45">
      <c r="A101" t="s">
        <v>572</v>
      </c>
      <c r="B101" t="s">
        <v>573</v>
      </c>
      <c r="C101" s="6">
        <f t="shared" si="99"/>
        <v>0.1</v>
      </c>
      <c r="D101" s="6">
        <f t="shared" si="100"/>
        <v>0.3</v>
      </c>
      <c r="E101" s="22">
        <f t="shared" si="101"/>
        <v>1</v>
      </c>
      <c r="F101" s="25">
        <f t="shared" si="102"/>
        <v>4</v>
      </c>
      <c r="G101" s="6">
        <f t="shared" si="103"/>
        <v>0.4</v>
      </c>
      <c r="H101" s="4">
        <f t="shared" si="104"/>
        <v>3</v>
      </c>
      <c r="I101" s="6">
        <f t="shared" si="105"/>
        <v>0.8</v>
      </c>
      <c r="J101" s="4">
        <f t="shared" si="106"/>
        <v>1500</v>
      </c>
      <c r="K101" s="6">
        <f t="shared" si="107"/>
        <v>1</v>
      </c>
      <c r="L101" s="4">
        <f>IdxFlag</f>
        <v>6</v>
      </c>
      <c r="M101" s="4">
        <f>80</f>
        <v>80</v>
      </c>
      <c r="N101" s="6">
        <f>0</f>
        <v>0</v>
      </c>
      <c r="O101" s="25">
        <f t="shared" ref="O101:O128" si="108">H101*F101</f>
        <v>12</v>
      </c>
      <c r="P101" s="25">
        <f t="shared" ref="P101:P128" si="109">F101*G101*TokIn</f>
        <v>960</v>
      </c>
      <c r="Q101" s="25">
        <f t="shared" ref="Q101:Q128" si="110">F101*(1-G101)*TokOut</f>
        <v>2880</v>
      </c>
      <c r="R101" s="25">
        <f t="shared" ref="R101:R128" si="111">(G101*TokIn+(1-G101)*TokOut)*F101*(O101-1)/2</f>
        <v>21120</v>
      </c>
      <c r="S101" s="25">
        <f t="shared" ref="S101:S128" si="112">O101*J101</f>
        <v>18000</v>
      </c>
      <c r="T101" s="30">
        <f t="shared" ref="T101:T128" si="113">INDEX(ListAudioIn,L101)</f>
        <v>32</v>
      </c>
      <c r="U101" s="30">
        <f t="shared" ref="U101:U128" si="114">INDEX(ListAudioCached,L101)</f>
        <v>0.4</v>
      </c>
      <c r="V101" s="30">
        <f t="shared" ref="V101:V128" si="115">INDEX(ListAudioOut,L101)</f>
        <v>64</v>
      </c>
      <c r="W101" s="30">
        <f t="shared" ref="W101:W128" si="116">INDEX(ListTextIn,L101)</f>
        <v>4</v>
      </c>
      <c r="X101" s="30">
        <f t="shared" ref="X101:X128" si="117">INDEX(ListTextCached,L101)</f>
        <v>0.4</v>
      </c>
      <c r="Y101" s="7">
        <f t="shared" ref="Y101:Y132" si="118">K101*(P101*T101+Q101*V101+R101*(I101*U101+(1-I101)*T101)+S101*(I101*X101+(1-I101)*W101))/1000000</f>
        <v>0.37712639999999997</v>
      </c>
      <c r="Z101" s="7">
        <f t="shared" ref="Z101:Z132" si="119">Y101/F101</f>
        <v>9.4281599999999993E-2</v>
      </c>
      <c r="AA101" s="25">
        <f t="shared" ref="AA101:AA128" si="120">T_calls1*E101*F101</f>
        <v>8</v>
      </c>
      <c r="AB101" s="25">
        <f t="shared" ref="AB101:AB128" si="121">T_calls2*E101*F101</f>
        <v>24</v>
      </c>
      <c r="AC101" s="25">
        <f t="shared" ref="AC101:AC128" si="122">T_calls3*E101*F101</f>
        <v>80</v>
      </c>
      <c r="AD101" s="25">
        <f t="shared" ref="AD101:AD128" si="123">MIN(AA101,M101)</f>
        <v>8</v>
      </c>
      <c r="AE101" s="25">
        <f t="shared" ref="AE101:AE128" si="124">MIN(AB101,M101)</f>
        <v>24</v>
      </c>
      <c r="AF101" s="25">
        <f t="shared" ref="AF101:AF128" si="125">MIN(AC101,M101)</f>
        <v>80</v>
      </c>
      <c r="AG101" s="25">
        <f t="shared" ref="AG101:AG132" si="126">T_share1*AD101+T_share2*AE101+T_share3*AF101</f>
        <v>24.4</v>
      </c>
      <c r="AH101" s="30">
        <f t="shared" ref="AH101:AH132" si="127">AG101*Z101</f>
        <v>2.3004710399999997</v>
      </c>
      <c r="AI101" s="25">
        <f t="shared" ref="AI101:AI128" si="128">PaidAvg*(1-C101)</f>
        <v>11340000</v>
      </c>
      <c r="AJ101" s="25">
        <f t="shared" ref="AJ101:AJ132" si="129">AI101*D101</f>
        <v>3402000</v>
      </c>
      <c r="AK101" s="33">
        <f t="shared" ref="AK101:AK132" si="130">AJ101*AH101*3</f>
        <v>23478607.434239998</v>
      </c>
      <c r="AL101" s="33">
        <f t="shared" ref="AL101:AL128" si="131">N101*ARPU*AI101*3</f>
        <v>0</v>
      </c>
      <c r="AM101" s="5">
        <f t="shared" ref="AM101:AM132" si="132">GMb-AK101/(Rev+AL101)</f>
        <v>0.64912433728795993</v>
      </c>
    </row>
    <row r="102" spans="1:39" x14ac:dyDescent="0.45">
      <c r="A102" t="s">
        <v>574</v>
      </c>
      <c r="B102" t="s">
        <v>575</v>
      </c>
      <c r="C102" s="6">
        <f t="shared" si="99"/>
        <v>0.1</v>
      </c>
      <c r="D102" s="6">
        <f t="shared" si="100"/>
        <v>0.3</v>
      </c>
      <c r="E102" s="22">
        <f t="shared" si="101"/>
        <v>1</v>
      </c>
      <c r="F102" s="25">
        <f t="shared" si="102"/>
        <v>4</v>
      </c>
      <c r="G102" s="6">
        <f t="shared" si="103"/>
        <v>0.4</v>
      </c>
      <c r="H102" s="4">
        <f t="shared" si="104"/>
        <v>3</v>
      </c>
      <c r="I102" s="6">
        <f t="shared" si="105"/>
        <v>0.8</v>
      </c>
      <c r="J102" s="4">
        <f t="shared" si="106"/>
        <v>1500</v>
      </c>
      <c r="K102" s="6">
        <f t="shared" si="107"/>
        <v>1</v>
      </c>
      <c r="L102" s="4">
        <f>IdxMini</f>
        <v>5</v>
      </c>
      <c r="M102" s="4">
        <f>85</f>
        <v>85</v>
      </c>
      <c r="N102" s="6">
        <f>0</f>
        <v>0</v>
      </c>
      <c r="O102" s="25">
        <f t="shared" si="108"/>
        <v>12</v>
      </c>
      <c r="P102" s="25">
        <f t="shared" si="109"/>
        <v>960</v>
      </c>
      <c r="Q102" s="25">
        <f t="shared" si="110"/>
        <v>2880</v>
      </c>
      <c r="R102" s="25">
        <f t="shared" si="111"/>
        <v>21120</v>
      </c>
      <c r="S102" s="25">
        <f t="shared" si="112"/>
        <v>18000</v>
      </c>
      <c r="T102" s="30">
        <f t="shared" si="113"/>
        <v>10</v>
      </c>
      <c r="U102" s="30">
        <f t="shared" si="114"/>
        <v>0.3</v>
      </c>
      <c r="V102" s="30">
        <f t="shared" si="115"/>
        <v>20</v>
      </c>
      <c r="W102" s="30">
        <f t="shared" si="116"/>
        <v>0.6</v>
      </c>
      <c r="X102" s="30">
        <f t="shared" si="117"/>
        <v>0.06</v>
      </c>
      <c r="Y102" s="7">
        <f t="shared" si="118"/>
        <v>0.11753279999999999</v>
      </c>
      <c r="Z102" s="7">
        <f t="shared" si="119"/>
        <v>2.9383199999999998E-2</v>
      </c>
      <c r="AA102" s="25">
        <f t="shared" si="120"/>
        <v>8</v>
      </c>
      <c r="AB102" s="25">
        <f t="shared" si="121"/>
        <v>24</v>
      </c>
      <c r="AC102" s="25">
        <f t="shared" si="122"/>
        <v>80</v>
      </c>
      <c r="AD102" s="25">
        <f t="shared" si="123"/>
        <v>8</v>
      </c>
      <c r="AE102" s="25">
        <f t="shared" si="124"/>
        <v>24</v>
      </c>
      <c r="AF102" s="25">
        <f t="shared" si="125"/>
        <v>80</v>
      </c>
      <c r="AG102" s="25">
        <f t="shared" si="126"/>
        <v>24.4</v>
      </c>
      <c r="AH102" s="30">
        <f t="shared" si="127"/>
        <v>0.71695007999999993</v>
      </c>
      <c r="AI102" s="25">
        <f t="shared" si="128"/>
        <v>11340000</v>
      </c>
      <c r="AJ102" s="25">
        <f t="shared" si="129"/>
        <v>3402000</v>
      </c>
      <c r="AK102" s="33">
        <f t="shared" si="130"/>
        <v>7317192.5164799988</v>
      </c>
      <c r="AL102" s="33">
        <f t="shared" si="131"/>
        <v>0</v>
      </c>
      <c r="AM102" s="5">
        <f t="shared" si="132"/>
        <v>0.70327477560595864</v>
      </c>
    </row>
    <row r="103" spans="1:39" x14ac:dyDescent="0.45">
      <c r="A103" t="s">
        <v>576</v>
      </c>
      <c r="B103" t="s">
        <v>577</v>
      </c>
      <c r="C103" s="6">
        <f t="shared" si="99"/>
        <v>0.1</v>
      </c>
      <c r="D103" s="6">
        <f t="shared" si="100"/>
        <v>0.3</v>
      </c>
      <c r="E103" s="22">
        <f t="shared" si="101"/>
        <v>1</v>
      </c>
      <c r="F103" s="25">
        <f t="shared" si="102"/>
        <v>4</v>
      </c>
      <c r="G103" s="6">
        <f t="shared" si="103"/>
        <v>0.4</v>
      </c>
      <c r="H103" s="4">
        <f t="shared" si="104"/>
        <v>3</v>
      </c>
      <c r="I103" s="6">
        <f t="shared" si="105"/>
        <v>0.8</v>
      </c>
      <c r="J103" s="4">
        <f t="shared" si="106"/>
        <v>1500</v>
      </c>
      <c r="K103" s="6">
        <f t="shared" si="107"/>
        <v>1</v>
      </c>
      <c r="L103" s="4">
        <f>IdxFlag</f>
        <v>6</v>
      </c>
      <c r="M103" s="4">
        <f>85</f>
        <v>85</v>
      </c>
      <c r="N103" s="6">
        <f>0</f>
        <v>0</v>
      </c>
      <c r="O103" s="25">
        <f t="shared" si="108"/>
        <v>12</v>
      </c>
      <c r="P103" s="25">
        <f t="shared" si="109"/>
        <v>960</v>
      </c>
      <c r="Q103" s="25">
        <f t="shared" si="110"/>
        <v>2880</v>
      </c>
      <c r="R103" s="25">
        <f t="shared" si="111"/>
        <v>21120</v>
      </c>
      <c r="S103" s="25">
        <f t="shared" si="112"/>
        <v>18000</v>
      </c>
      <c r="T103" s="30">
        <f t="shared" si="113"/>
        <v>32</v>
      </c>
      <c r="U103" s="30">
        <f t="shared" si="114"/>
        <v>0.4</v>
      </c>
      <c r="V103" s="30">
        <f t="shared" si="115"/>
        <v>64</v>
      </c>
      <c r="W103" s="30">
        <f t="shared" si="116"/>
        <v>4</v>
      </c>
      <c r="X103" s="30">
        <f t="shared" si="117"/>
        <v>0.4</v>
      </c>
      <c r="Y103" s="7">
        <f t="shared" si="118"/>
        <v>0.37712639999999997</v>
      </c>
      <c r="Z103" s="7">
        <f t="shared" si="119"/>
        <v>9.4281599999999993E-2</v>
      </c>
      <c r="AA103" s="25">
        <f t="shared" si="120"/>
        <v>8</v>
      </c>
      <c r="AB103" s="25">
        <f t="shared" si="121"/>
        <v>24</v>
      </c>
      <c r="AC103" s="25">
        <f t="shared" si="122"/>
        <v>80</v>
      </c>
      <c r="AD103" s="25">
        <f t="shared" si="123"/>
        <v>8</v>
      </c>
      <c r="AE103" s="25">
        <f t="shared" si="124"/>
        <v>24</v>
      </c>
      <c r="AF103" s="25">
        <f t="shared" si="125"/>
        <v>80</v>
      </c>
      <c r="AG103" s="25">
        <f t="shared" si="126"/>
        <v>24.4</v>
      </c>
      <c r="AH103" s="30">
        <f t="shared" si="127"/>
        <v>2.3004710399999997</v>
      </c>
      <c r="AI103" s="25">
        <f t="shared" si="128"/>
        <v>11340000</v>
      </c>
      <c r="AJ103" s="25">
        <f t="shared" si="129"/>
        <v>3402000</v>
      </c>
      <c r="AK103" s="33">
        <f t="shared" si="130"/>
        <v>23478607.434239998</v>
      </c>
      <c r="AL103" s="33">
        <f t="shared" si="131"/>
        <v>0</v>
      </c>
      <c r="AM103" s="5">
        <f t="shared" si="132"/>
        <v>0.64912433728795993</v>
      </c>
    </row>
    <row r="104" spans="1:39" x14ac:dyDescent="0.45">
      <c r="A104" t="s">
        <v>578</v>
      </c>
      <c r="B104" t="s">
        <v>579</v>
      </c>
      <c r="C104" s="6">
        <f t="shared" si="99"/>
        <v>0.1</v>
      </c>
      <c r="D104" s="6">
        <f t="shared" si="100"/>
        <v>0.3</v>
      </c>
      <c r="E104" s="22">
        <f t="shared" si="101"/>
        <v>1</v>
      </c>
      <c r="F104" s="25">
        <f t="shared" si="102"/>
        <v>4</v>
      </c>
      <c r="G104" s="6">
        <f t="shared" si="103"/>
        <v>0.4</v>
      </c>
      <c r="H104" s="4">
        <f t="shared" si="104"/>
        <v>3</v>
      </c>
      <c r="I104" s="6">
        <f t="shared" si="105"/>
        <v>0.8</v>
      </c>
      <c r="J104" s="4">
        <f t="shared" si="106"/>
        <v>1500</v>
      </c>
      <c r="K104" s="6">
        <f t="shared" si="107"/>
        <v>1</v>
      </c>
      <c r="L104" s="4">
        <f>IdxMini</f>
        <v>5</v>
      </c>
      <c r="M104" s="4">
        <f>90</f>
        <v>90</v>
      </c>
      <c r="N104" s="6">
        <f>0</f>
        <v>0</v>
      </c>
      <c r="O104" s="25">
        <f t="shared" si="108"/>
        <v>12</v>
      </c>
      <c r="P104" s="25">
        <f t="shared" si="109"/>
        <v>960</v>
      </c>
      <c r="Q104" s="25">
        <f t="shared" si="110"/>
        <v>2880</v>
      </c>
      <c r="R104" s="25">
        <f t="shared" si="111"/>
        <v>21120</v>
      </c>
      <c r="S104" s="25">
        <f t="shared" si="112"/>
        <v>18000</v>
      </c>
      <c r="T104" s="30">
        <f t="shared" si="113"/>
        <v>10</v>
      </c>
      <c r="U104" s="30">
        <f t="shared" si="114"/>
        <v>0.3</v>
      </c>
      <c r="V104" s="30">
        <f t="shared" si="115"/>
        <v>20</v>
      </c>
      <c r="W104" s="30">
        <f t="shared" si="116"/>
        <v>0.6</v>
      </c>
      <c r="X104" s="30">
        <f t="shared" si="117"/>
        <v>0.06</v>
      </c>
      <c r="Y104" s="7">
        <f t="shared" si="118"/>
        <v>0.11753279999999999</v>
      </c>
      <c r="Z104" s="7">
        <f t="shared" si="119"/>
        <v>2.9383199999999998E-2</v>
      </c>
      <c r="AA104" s="25">
        <f t="shared" si="120"/>
        <v>8</v>
      </c>
      <c r="AB104" s="25">
        <f t="shared" si="121"/>
        <v>24</v>
      </c>
      <c r="AC104" s="25">
        <f t="shared" si="122"/>
        <v>80</v>
      </c>
      <c r="AD104" s="25">
        <f t="shared" si="123"/>
        <v>8</v>
      </c>
      <c r="AE104" s="25">
        <f t="shared" si="124"/>
        <v>24</v>
      </c>
      <c r="AF104" s="25">
        <f t="shared" si="125"/>
        <v>80</v>
      </c>
      <c r="AG104" s="25">
        <f t="shared" si="126"/>
        <v>24.4</v>
      </c>
      <c r="AH104" s="30">
        <f t="shared" si="127"/>
        <v>0.71695007999999993</v>
      </c>
      <c r="AI104" s="25">
        <f t="shared" si="128"/>
        <v>11340000</v>
      </c>
      <c r="AJ104" s="25">
        <f t="shared" si="129"/>
        <v>3402000</v>
      </c>
      <c r="AK104" s="33">
        <f t="shared" si="130"/>
        <v>7317192.5164799988</v>
      </c>
      <c r="AL104" s="33">
        <f t="shared" si="131"/>
        <v>0</v>
      </c>
      <c r="AM104" s="5">
        <f t="shared" si="132"/>
        <v>0.70327477560595864</v>
      </c>
    </row>
    <row r="105" spans="1:39" x14ac:dyDescent="0.45">
      <c r="A105" t="s">
        <v>580</v>
      </c>
      <c r="B105" t="s">
        <v>581</v>
      </c>
      <c r="C105" s="6">
        <f t="shared" si="99"/>
        <v>0.1</v>
      </c>
      <c r="D105" s="6">
        <f t="shared" si="100"/>
        <v>0.3</v>
      </c>
      <c r="E105" s="22">
        <f t="shared" si="101"/>
        <v>1</v>
      </c>
      <c r="F105" s="25">
        <f t="shared" si="102"/>
        <v>4</v>
      </c>
      <c r="G105" s="6">
        <f t="shared" si="103"/>
        <v>0.4</v>
      </c>
      <c r="H105" s="4">
        <f t="shared" si="104"/>
        <v>3</v>
      </c>
      <c r="I105" s="6">
        <f t="shared" si="105"/>
        <v>0.8</v>
      </c>
      <c r="J105" s="4">
        <f t="shared" si="106"/>
        <v>1500</v>
      </c>
      <c r="K105" s="6">
        <f t="shared" si="107"/>
        <v>1</v>
      </c>
      <c r="L105" s="4">
        <f>IdxFlag</f>
        <v>6</v>
      </c>
      <c r="M105" s="4">
        <f>90</f>
        <v>90</v>
      </c>
      <c r="N105" s="6">
        <f>0</f>
        <v>0</v>
      </c>
      <c r="O105" s="25">
        <f t="shared" si="108"/>
        <v>12</v>
      </c>
      <c r="P105" s="25">
        <f t="shared" si="109"/>
        <v>960</v>
      </c>
      <c r="Q105" s="25">
        <f t="shared" si="110"/>
        <v>2880</v>
      </c>
      <c r="R105" s="25">
        <f t="shared" si="111"/>
        <v>21120</v>
      </c>
      <c r="S105" s="25">
        <f t="shared" si="112"/>
        <v>18000</v>
      </c>
      <c r="T105" s="30">
        <f t="shared" si="113"/>
        <v>32</v>
      </c>
      <c r="U105" s="30">
        <f t="shared" si="114"/>
        <v>0.4</v>
      </c>
      <c r="V105" s="30">
        <f t="shared" si="115"/>
        <v>64</v>
      </c>
      <c r="W105" s="30">
        <f t="shared" si="116"/>
        <v>4</v>
      </c>
      <c r="X105" s="30">
        <f t="shared" si="117"/>
        <v>0.4</v>
      </c>
      <c r="Y105" s="7">
        <f t="shared" si="118"/>
        <v>0.37712639999999997</v>
      </c>
      <c r="Z105" s="7">
        <f t="shared" si="119"/>
        <v>9.4281599999999993E-2</v>
      </c>
      <c r="AA105" s="25">
        <f t="shared" si="120"/>
        <v>8</v>
      </c>
      <c r="AB105" s="25">
        <f t="shared" si="121"/>
        <v>24</v>
      </c>
      <c r="AC105" s="25">
        <f t="shared" si="122"/>
        <v>80</v>
      </c>
      <c r="AD105" s="25">
        <f t="shared" si="123"/>
        <v>8</v>
      </c>
      <c r="AE105" s="25">
        <f t="shared" si="124"/>
        <v>24</v>
      </c>
      <c r="AF105" s="25">
        <f t="shared" si="125"/>
        <v>80</v>
      </c>
      <c r="AG105" s="25">
        <f t="shared" si="126"/>
        <v>24.4</v>
      </c>
      <c r="AH105" s="30">
        <f t="shared" si="127"/>
        <v>2.3004710399999997</v>
      </c>
      <c r="AI105" s="25">
        <f t="shared" si="128"/>
        <v>11340000</v>
      </c>
      <c r="AJ105" s="25">
        <f t="shared" si="129"/>
        <v>3402000</v>
      </c>
      <c r="AK105" s="33">
        <f t="shared" si="130"/>
        <v>23478607.434239998</v>
      </c>
      <c r="AL105" s="33">
        <f t="shared" si="131"/>
        <v>0</v>
      </c>
      <c r="AM105" s="5">
        <f t="shared" si="132"/>
        <v>0.64912433728795993</v>
      </c>
    </row>
    <row r="106" spans="1:39" x14ac:dyDescent="0.45">
      <c r="A106" t="s">
        <v>582</v>
      </c>
      <c r="B106" t="s">
        <v>583</v>
      </c>
      <c r="C106" s="6">
        <f t="shared" si="99"/>
        <v>0.1</v>
      </c>
      <c r="D106" s="6">
        <f t="shared" si="100"/>
        <v>0.3</v>
      </c>
      <c r="E106" s="22">
        <f t="shared" si="101"/>
        <v>1</v>
      </c>
      <c r="F106" s="25">
        <f t="shared" si="102"/>
        <v>4</v>
      </c>
      <c r="G106" s="6">
        <f t="shared" si="103"/>
        <v>0.4</v>
      </c>
      <c r="H106" s="4">
        <f t="shared" si="104"/>
        <v>3</v>
      </c>
      <c r="I106" s="6">
        <f t="shared" si="105"/>
        <v>0.8</v>
      </c>
      <c r="J106" s="4">
        <f t="shared" si="106"/>
        <v>1500</v>
      </c>
      <c r="K106" s="6">
        <f t="shared" si="107"/>
        <v>1</v>
      </c>
      <c r="L106" s="4">
        <f>IdxMini</f>
        <v>5</v>
      </c>
      <c r="M106" s="4">
        <f>95</f>
        <v>95</v>
      </c>
      <c r="N106" s="6">
        <f>0</f>
        <v>0</v>
      </c>
      <c r="O106" s="25">
        <f t="shared" si="108"/>
        <v>12</v>
      </c>
      <c r="P106" s="25">
        <f t="shared" si="109"/>
        <v>960</v>
      </c>
      <c r="Q106" s="25">
        <f t="shared" si="110"/>
        <v>2880</v>
      </c>
      <c r="R106" s="25">
        <f t="shared" si="111"/>
        <v>21120</v>
      </c>
      <c r="S106" s="25">
        <f t="shared" si="112"/>
        <v>18000</v>
      </c>
      <c r="T106" s="30">
        <f t="shared" si="113"/>
        <v>10</v>
      </c>
      <c r="U106" s="30">
        <f t="shared" si="114"/>
        <v>0.3</v>
      </c>
      <c r="V106" s="30">
        <f t="shared" si="115"/>
        <v>20</v>
      </c>
      <c r="W106" s="30">
        <f t="shared" si="116"/>
        <v>0.6</v>
      </c>
      <c r="X106" s="30">
        <f t="shared" si="117"/>
        <v>0.06</v>
      </c>
      <c r="Y106" s="7">
        <f t="shared" si="118"/>
        <v>0.11753279999999999</v>
      </c>
      <c r="Z106" s="7">
        <f t="shared" si="119"/>
        <v>2.9383199999999998E-2</v>
      </c>
      <c r="AA106" s="25">
        <f t="shared" si="120"/>
        <v>8</v>
      </c>
      <c r="AB106" s="25">
        <f t="shared" si="121"/>
        <v>24</v>
      </c>
      <c r="AC106" s="25">
        <f t="shared" si="122"/>
        <v>80</v>
      </c>
      <c r="AD106" s="25">
        <f t="shared" si="123"/>
        <v>8</v>
      </c>
      <c r="AE106" s="25">
        <f t="shared" si="124"/>
        <v>24</v>
      </c>
      <c r="AF106" s="25">
        <f t="shared" si="125"/>
        <v>80</v>
      </c>
      <c r="AG106" s="25">
        <f t="shared" si="126"/>
        <v>24.4</v>
      </c>
      <c r="AH106" s="30">
        <f t="shared" si="127"/>
        <v>0.71695007999999993</v>
      </c>
      <c r="AI106" s="25">
        <f t="shared" si="128"/>
        <v>11340000</v>
      </c>
      <c r="AJ106" s="25">
        <f t="shared" si="129"/>
        <v>3402000</v>
      </c>
      <c r="AK106" s="33">
        <f t="shared" si="130"/>
        <v>7317192.5164799988</v>
      </c>
      <c r="AL106" s="33">
        <f t="shared" si="131"/>
        <v>0</v>
      </c>
      <c r="AM106" s="5">
        <f t="shared" si="132"/>
        <v>0.70327477560595864</v>
      </c>
    </row>
    <row r="107" spans="1:39" x14ac:dyDescent="0.45">
      <c r="A107" t="s">
        <v>584</v>
      </c>
      <c r="B107" t="s">
        <v>585</v>
      </c>
      <c r="C107" s="6">
        <f t="shared" si="99"/>
        <v>0.1</v>
      </c>
      <c r="D107" s="6">
        <f t="shared" si="100"/>
        <v>0.3</v>
      </c>
      <c r="E107" s="22">
        <f t="shared" si="101"/>
        <v>1</v>
      </c>
      <c r="F107" s="25">
        <f t="shared" si="102"/>
        <v>4</v>
      </c>
      <c r="G107" s="6">
        <f t="shared" si="103"/>
        <v>0.4</v>
      </c>
      <c r="H107" s="4">
        <f t="shared" si="104"/>
        <v>3</v>
      </c>
      <c r="I107" s="6">
        <f t="shared" si="105"/>
        <v>0.8</v>
      </c>
      <c r="J107" s="4">
        <f t="shared" si="106"/>
        <v>1500</v>
      </c>
      <c r="K107" s="6">
        <f t="shared" si="107"/>
        <v>1</v>
      </c>
      <c r="L107" s="4">
        <f>IdxFlag</f>
        <v>6</v>
      </c>
      <c r="M107" s="4">
        <f>95</f>
        <v>95</v>
      </c>
      <c r="N107" s="6">
        <f>0</f>
        <v>0</v>
      </c>
      <c r="O107" s="25">
        <f t="shared" si="108"/>
        <v>12</v>
      </c>
      <c r="P107" s="25">
        <f t="shared" si="109"/>
        <v>960</v>
      </c>
      <c r="Q107" s="25">
        <f t="shared" si="110"/>
        <v>2880</v>
      </c>
      <c r="R107" s="25">
        <f t="shared" si="111"/>
        <v>21120</v>
      </c>
      <c r="S107" s="25">
        <f t="shared" si="112"/>
        <v>18000</v>
      </c>
      <c r="T107" s="30">
        <f t="shared" si="113"/>
        <v>32</v>
      </c>
      <c r="U107" s="30">
        <f t="shared" si="114"/>
        <v>0.4</v>
      </c>
      <c r="V107" s="30">
        <f t="shared" si="115"/>
        <v>64</v>
      </c>
      <c r="W107" s="30">
        <f t="shared" si="116"/>
        <v>4</v>
      </c>
      <c r="X107" s="30">
        <f t="shared" si="117"/>
        <v>0.4</v>
      </c>
      <c r="Y107" s="7">
        <f t="shared" si="118"/>
        <v>0.37712639999999997</v>
      </c>
      <c r="Z107" s="7">
        <f t="shared" si="119"/>
        <v>9.4281599999999993E-2</v>
      </c>
      <c r="AA107" s="25">
        <f t="shared" si="120"/>
        <v>8</v>
      </c>
      <c r="AB107" s="25">
        <f t="shared" si="121"/>
        <v>24</v>
      </c>
      <c r="AC107" s="25">
        <f t="shared" si="122"/>
        <v>80</v>
      </c>
      <c r="AD107" s="25">
        <f t="shared" si="123"/>
        <v>8</v>
      </c>
      <c r="AE107" s="25">
        <f t="shared" si="124"/>
        <v>24</v>
      </c>
      <c r="AF107" s="25">
        <f t="shared" si="125"/>
        <v>80</v>
      </c>
      <c r="AG107" s="25">
        <f t="shared" si="126"/>
        <v>24.4</v>
      </c>
      <c r="AH107" s="30">
        <f t="shared" si="127"/>
        <v>2.3004710399999997</v>
      </c>
      <c r="AI107" s="25">
        <f t="shared" si="128"/>
        <v>11340000</v>
      </c>
      <c r="AJ107" s="25">
        <f t="shared" si="129"/>
        <v>3402000</v>
      </c>
      <c r="AK107" s="33">
        <f t="shared" si="130"/>
        <v>23478607.434239998</v>
      </c>
      <c r="AL107" s="33">
        <f t="shared" si="131"/>
        <v>0</v>
      </c>
      <c r="AM107" s="5">
        <f t="shared" si="132"/>
        <v>0.64912433728795993</v>
      </c>
    </row>
    <row r="108" spans="1:39" x14ac:dyDescent="0.45">
      <c r="A108" t="s">
        <v>586</v>
      </c>
      <c r="B108" t="s">
        <v>587</v>
      </c>
      <c r="C108" s="6">
        <f t="shared" si="99"/>
        <v>0.1</v>
      </c>
      <c r="D108" s="6">
        <f t="shared" si="100"/>
        <v>0.3</v>
      </c>
      <c r="E108" s="22">
        <f t="shared" si="101"/>
        <v>1</v>
      </c>
      <c r="F108" s="25">
        <f t="shared" si="102"/>
        <v>4</v>
      </c>
      <c r="G108" s="6">
        <f t="shared" si="103"/>
        <v>0.4</v>
      </c>
      <c r="H108" s="4">
        <f t="shared" si="104"/>
        <v>3</v>
      </c>
      <c r="I108" s="6">
        <f t="shared" si="105"/>
        <v>0.8</v>
      </c>
      <c r="J108" s="4">
        <f t="shared" si="106"/>
        <v>1500</v>
      </c>
      <c r="K108" s="6">
        <f t="shared" si="107"/>
        <v>1</v>
      </c>
      <c r="L108" s="4">
        <f>IdxMini</f>
        <v>5</v>
      </c>
      <c r="M108" s="4">
        <f>100</f>
        <v>100</v>
      </c>
      <c r="N108" s="6">
        <f>0</f>
        <v>0</v>
      </c>
      <c r="O108" s="25">
        <f t="shared" si="108"/>
        <v>12</v>
      </c>
      <c r="P108" s="25">
        <f t="shared" si="109"/>
        <v>960</v>
      </c>
      <c r="Q108" s="25">
        <f t="shared" si="110"/>
        <v>2880</v>
      </c>
      <c r="R108" s="25">
        <f t="shared" si="111"/>
        <v>21120</v>
      </c>
      <c r="S108" s="25">
        <f t="shared" si="112"/>
        <v>18000</v>
      </c>
      <c r="T108" s="30">
        <f t="shared" si="113"/>
        <v>10</v>
      </c>
      <c r="U108" s="30">
        <f t="shared" si="114"/>
        <v>0.3</v>
      </c>
      <c r="V108" s="30">
        <f t="shared" si="115"/>
        <v>20</v>
      </c>
      <c r="W108" s="30">
        <f t="shared" si="116"/>
        <v>0.6</v>
      </c>
      <c r="X108" s="30">
        <f t="shared" si="117"/>
        <v>0.06</v>
      </c>
      <c r="Y108" s="7">
        <f t="shared" si="118"/>
        <v>0.11753279999999999</v>
      </c>
      <c r="Z108" s="7">
        <f t="shared" si="119"/>
        <v>2.9383199999999998E-2</v>
      </c>
      <c r="AA108" s="25">
        <f t="shared" si="120"/>
        <v>8</v>
      </c>
      <c r="AB108" s="25">
        <f t="shared" si="121"/>
        <v>24</v>
      </c>
      <c r="AC108" s="25">
        <f t="shared" si="122"/>
        <v>80</v>
      </c>
      <c r="AD108" s="25">
        <f t="shared" si="123"/>
        <v>8</v>
      </c>
      <c r="AE108" s="25">
        <f t="shared" si="124"/>
        <v>24</v>
      </c>
      <c r="AF108" s="25">
        <f t="shared" si="125"/>
        <v>80</v>
      </c>
      <c r="AG108" s="25">
        <f t="shared" si="126"/>
        <v>24.4</v>
      </c>
      <c r="AH108" s="30">
        <f t="shared" si="127"/>
        <v>0.71695007999999993</v>
      </c>
      <c r="AI108" s="25">
        <f t="shared" si="128"/>
        <v>11340000</v>
      </c>
      <c r="AJ108" s="25">
        <f t="shared" si="129"/>
        <v>3402000</v>
      </c>
      <c r="AK108" s="33">
        <f t="shared" si="130"/>
        <v>7317192.5164799988</v>
      </c>
      <c r="AL108" s="33">
        <f t="shared" si="131"/>
        <v>0</v>
      </c>
      <c r="AM108" s="5">
        <f t="shared" si="132"/>
        <v>0.70327477560595864</v>
      </c>
    </row>
    <row r="109" spans="1:39" x14ac:dyDescent="0.45">
      <c r="A109" t="s">
        <v>588</v>
      </c>
      <c r="B109" t="s">
        <v>589</v>
      </c>
      <c r="C109" s="6">
        <f t="shared" si="99"/>
        <v>0.1</v>
      </c>
      <c r="D109" s="6">
        <f t="shared" si="100"/>
        <v>0.3</v>
      </c>
      <c r="E109" s="22">
        <f t="shared" si="101"/>
        <v>1</v>
      </c>
      <c r="F109" s="25">
        <f t="shared" si="102"/>
        <v>4</v>
      </c>
      <c r="G109" s="6">
        <f t="shared" si="103"/>
        <v>0.4</v>
      </c>
      <c r="H109" s="4">
        <f t="shared" si="104"/>
        <v>3</v>
      </c>
      <c r="I109" s="6">
        <f t="shared" si="105"/>
        <v>0.8</v>
      </c>
      <c r="J109" s="4">
        <f t="shared" si="106"/>
        <v>1500</v>
      </c>
      <c r="K109" s="6">
        <f t="shared" si="107"/>
        <v>1</v>
      </c>
      <c r="L109" s="4">
        <f>IdxFlag</f>
        <v>6</v>
      </c>
      <c r="M109" s="4">
        <f>100</f>
        <v>100</v>
      </c>
      <c r="N109" s="6">
        <f>0</f>
        <v>0</v>
      </c>
      <c r="O109" s="25">
        <f t="shared" si="108"/>
        <v>12</v>
      </c>
      <c r="P109" s="25">
        <f t="shared" si="109"/>
        <v>960</v>
      </c>
      <c r="Q109" s="25">
        <f t="shared" si="110"/>
        <v>2880</v>
      </c>
      <c r="R109" s="25">
        <f t="shared" si="111"/>
        <v>21120</v>
      </c>
      <c r="S109" s="25">
        <f t="shared" si="112"/>
        <v>18000</v>
      </c>
      <c r="T109" s="30">
        <f t="shared" si="113"/>
        <v>32</v>
      </c>
      <c r="U109" s="30">
        <f t="shared" si="114"/>
        <v>0.4</v>
      </c>
      <c r="V109" s="30">
        <f t="shared" si="115"/>
        <v>64</v>
      </c>
      <c r="W109" s="30">
        <f t="shared" si="116"/>
        <v>4</v>
      </c>
      <c r="X109" s="30">
        <f t="shared" si="117"/>
        <v>0.4</v>
      </c>
      <c r="Y109" s="7">
        <f t="shared" si="118"/>
        <v>0.37712639999999997</v>
      </c>
      <c r="Z109" s="7">
        <f t="shared" si="119"/>
        <v>9.4281599999999993E-2</v>
      </c>
      <c r="AA109" s="25">
        <f t="shared" si="120"/>
        <v>8</v>
      </c>
      <c r="AB109" s="25">
        <f t="shared" si="121"/>
        <v>24</v>
      </c>
      <c r="AC109" s="25">
        <f t="shared" si="122"/>
        <v>80</v>
      </c>
      <c r="AD109" s="25">
        <f t="shared" si="123"/>
        <v>8</v>
      </c>
      <c r="AE109" s="25">
        <f t="shared" si="124"/>
        <v>24</v>
      </c>
      <c r="AF109" s="25">
        <f t="shared" si="125"/>
        <v>80</v>
      </c>
      <c r="AG109" s="25">
        <f t="shared" si="126"/>
        <v>24.4</v>
      </c>
      <c r="AH109" s="30">
        <f t="shared" si="127"/>
        <v>2.3004710399999997</v>
      </c>
      <c r="AI109" s="25">
        <f t="shared" si="128"/>
        <v>11340000</v>
      </c>
      <c r="AJ109" s="25">
        <f t="shared" si="129"/>
        <v>3402000</v>
      </c>
      <c r="AK109" s="33">
        <f t="shared" si="130"/>
        <v>23478607.434239998</v>
      </c>
      <c r="AL109" s="33">
        <f t="shared" si="131"/>
        <v>0</v>
      </c>
      <c r="AM109" s="5">
        <f t="shared" si="132"/>
        <v>0.64912433728795993</v>
      </c>
    </row>
    <row r="110" spans="1:39" x14ac:dyDescent="0.45">
      <c r="A110" t="s">
        <v>590</v>
      </c>
      <c r="B110" t="s">
        <v>591</v>
      </c>
      <c r="C110" s="6">
        <f t="shared" si="99"/>
        <v>0.1</v>
      </c>
      <c r="D110" s="6">
        <f t="shared" si="100"/>
        <v>0.3</v>
      </c>
      <c r="E110" s="22">
        <f t="shared" si="101"/>
        <v>1</v>
      </c>
      <c r="F110" s="25">
        <f t="shared" si="102"/>
        <v>4</v>
      </c>
      <c r="G110" s="6">
        <f t="shared" si="103"/>
        <v>0.4</v>
      </c>
      <c r="H110" s="4">
        <f t="shared" si="104"/>
        <v>3</v>
      </c>
      <c r="I110" s="6">
        <f t="shared" si="105"/>
        <v>0.8</v>
      </c>
      <c r="J110" s="4">
        <f t="shared" si="106"/>
        <v>1500</v>
      </c>
      <c r="K110" s="6">
        <f t="shared" si="107"/>
        <v>1</v>
      </c>
      <c r="L110" s="4">
        <f>IdxMini</f>
        <v>5</v>
      </c>
      <c r="M110" s="4">
        <f>105</f>
        <v>105</v>
      </c>
      <c r="N110" s="6">
        <f>0</f>
        <v>0</v>
      </c>
      <c r="O110" s="25">
        <f t="shared" si="108"/>
        <v>12</v>
      </c>
      <c r="P110" s="25">
        <f t="shared" si="109"/>
        <v>960</v>
      </c>
      <c r="Q110" s="25">
        <f t="shared" si="110"/>
        <v>2880</v>
      </c>
      <c r="R110" s="25">
        <f t="shared" si="111"/>
        <v>21120</v>
      </c>
      <c r="S110" s="25">
        <f t="shared" si="112"/>
        <v>18000</v>
      </c>
      <c r="T110" s="30">
        <f t="shared" si="113"/>
        <v>10</v>
      </c>
      <c r="U110" s="30">
        <f t="shared" si="114"/>
        <v>0.3</v>
      </c>
      <c r="V110" s="30">
        <f t="shared" si="115"/>
        <v>20</v>
      </c>
      <c r="W110" s="30">
        <f t="shared" si="116"/>
        <v>0.6</v>
      </c>
      <c r="X110" s="30">
        <f t="shared" si="117"/>
        <v>0.06</v>
      </c>
      <c r="Y110" s="7">
        <f t="shared" si="118"/>
        <v>0.11753279999999999</v>
      </c>
      <c r="Z110" s="7">
        <f t="shared" si="119"/>
        <v>2.9383199999999998E-2</v>
      </c>
      <c r="AA110" s="25">
        <f t="shared" si="120"/>
        <v>8</v>
      </c>
      <c r="AB110" s="25">
        <f t="shared" si="121"/>
        <v>24</v>
      </c>
      <c r="AC110" s="25">
        <f t="shared" si="122"/>
        <v>80</v>
      </c>
      <c r="AD110" s="25">
        <f t="shared" si="123"/>
        <v>8</v>
      </c>
      <c r="AE110" s="25">
        <f t="shared" si="124"/>
        <v>24</v>
      </c>
      <c r="AF110" s="25">
        <f t="shared" si="125"/>
        <v>80</v>
      </c>
      <c r="AG110" s="25">
        <f t="shared" si="126"/>
        <v>24.4</v>
      </c>
      <c r="AH110" s="30">
        <f t="shared" si="127"/>
        <v>0.71695007999999993</v>
      </c>
      <c r="AI110" s="25">
        <f t="shared" si="128"/>
        <v>11340000</v>
      </c>
      <c r="AJ110" s="25">
        <f t="shared" si="129"/>
        <v>3402000</v>
      </c>
      <c r="AK110" s="33">
        <f t="shared" si="130"/>
        <v>7317192.5164799988</v>
      </c>
      <c r="AL110" s="33">
        <f t="shared" si="131"/>
        <v>0</v>
      </c>
      <c r="AM110" s="5">
        <f t="shared" si="132"/>
        <v>0.70327477560595864</v>
      </c>
    </row>
    <row r="111" spans="1:39" x14ac:dyDescent="0.45">
      <c r="A111" t="s">
        <v>592</v>
      </c>
      <c r="B111" t="s">
        <v>593</v>
      </c>
      <c r="C111" s="6">
        <f t="shared" si="99"/>
        <v>0.1</v>
      </c>
      <c r="D111" s="6">
        <f t="shared" si="100"/>
        <v>0.3</v>
      </c>
      <c r="E111" s="22">
        <f t="shared" si="101"/>
        <v>1</v>
      </c>
      <c r="F111" s="25">
        <f t="shared" si="102"/>
        <v>4</v>
      </c>
      <c r="G111" s="6">
        <f t="shared" si="103"/>
        <v>0.4</v>
      </c>
      <c r="H111" s="4">
        <f t="shared" si="104"/>
        <v>3</v>
      </c>
      <c r="I111" s="6">
        <f t="shared" si="105"/>
        <v>0.8</v>
      </c>
      <c r="J111" s="4">
        <f t="shared" si="106"/>
        <v>1500</v>
      </c>
      <c r="K111" s="6">
        <f t="shared" si="107"/>
        <v>1</v>
      </c>
      <c r="L111" s="4">
        <f>IdxFlag</f>
        <v>6</v>
      </c>
      <c r="M111" s="4">
        <f>105</f>
        <v>105</v>
      </c>
      <c r="N111" s="6">
        <f>0</f>
        <v>0</v>
      </c>
      <c r="O111" s="25">
        <f t="shared" si="108"/>
        <v>12</v>
      </c>
      <c r="P111" s="25">
        <f t="shared" si="109"/>
        <v>960</v>
      </c>
      <c r="Q111" s="25">
        <f t="shared" si="110"/>
        <v>2880</v>
      </c>
      <c r="R111" s="25">
        <f t="shared" si="111"/>
        <v>21120</v>
      </c>
      <c r="S111" s="25">
        <f t="shared" si="112"/>
        <v>18000</v>
      </c>
      <c r="T111" s="30">
        <f t="shared" si="113"/>
        <v>32</v>
      </c>
      <c r="U111" s="30">
        <f t="shared" si="114"/>
        <v>0.4</v>
      </c>
      <c r="V111" s="30">
        <f t="shared" si="115"/>
        <v>64</v>
      </c>
      <c r="W111" s="30">
        <f t="shared" si="116"/>
        <v>4</v>
      </c>
      <c r="X111" s="30">
        <f t="shared" si="117"/>
        <v>0.4</v>
      </c>
      <c r="Y111" s="7">
        <f t="shared" si="118"/>
        <v>0.37712639999999997</v>
      </c>
      <c r="Z111" s="7">
        <f t="shared" si="119"/>
        <v>9.4281599999999993E-2</v>
      </c>
      <c r="AA111" s="25">
        <f t="shared" si="120"/>
        <v>8</v>
      </c>
      <c r="AB111" s="25">
        <f t="shared" si="121"/>
        <v>24</v>
      </c>
      <c r="AC111" s="25">
        <f t="shared" si="122"/>
        <v>80</v>
      </c>
      <c r="AD111" s="25">
        <f t="shared" si="123"/>
        <v>8</v>
      </c>
      <c r="AE111" s="25">
        <f t="shared" si="124"/>
        <v>24</v>
      </c>
      <c r="AF111" s="25">
        <f t="shared" si="125"/>
        <v>80</v>
      </c>
      <c r="AG111" s="25">
        <f t="shared" si="126"/>
        <v>24.4</v>
      </c>
      <c r="AH111" s="30">
        <f t="shared" si="127"/>
        <v>2.3004710399999997</v>
      </c>
      <c r="AI111" s="25">
        <f t="shared" si="128"/>
        <v>11340000</v>
      </c>
      <c r="AJ111" s="25">
        <f t="shared" si="129"/>
        <v>3402000</v>
      </c>
      <c r="AK111" s="33">
        <f t="shared" si="130"/>
        <v>23478607.434239998</v>
      </c>
      <c r="AL111" s="33">
        <f t="shared" si="131"/>
        <v>0</v>
      </c>
      <c r="AM111" s="5">
        <f t="shared" si="132"/>
        <v>0.64912433728795993</v>
      </c>
    </row>
    <row r="112" spans="1:39" x14ac:dyDescent="0.45">
      <c r="A112" t="s">
        <v>594</v>
      </c>
      <c r="B112" t="s">
        <v>595</v>
      </c>
      <c r="C112" s="6">
        <f t="shared" si="99"/>
        <v>0.1</v>
      </c>
      <c r="D112" s="6">
        <f t="shared" si="100"/>
        <v>0.3</v>
      </c>
      <c r="E112" s="22">
        <f t="shared" si="101"/>
        <v>1</v>
      </c>
      <c r="F112" s="25">
        <f t="shared" si="102"/>
        <v>4</v>
      </c>
      <c r="G112" s="6">
        <f t="shared" si="103"/>
        <v>0.4</v>
      </c>
      <c r="H112" s="4">
        <f t="shared" si="104"/>
        <v>3</v>
      </c>
      <c r="I112" s="6">
        <f t="shared" si="105"/>
        <v>0.8</v>
      </c>
      <c r="J112" s="4">
        <f t="shared" si="106"/>
        <v>1500</v>
      </c>
      <c r="K112" s="6">
        <f t="shared" si="107"/>
        <v>1</v>
      </c>
      <c r="L112" s="4">
        <f>IdxMini</f>
        <v>5</v>
      </c>
      <c r="M112" s="4">
        <f>110</f>
        <v>110</v>
      </c>
      <c r="N112" s="6">
        <f>0</f>
        <v>0</v>
      </c>
      <c r="O112" s="25">
        <f t="shared" si="108"/>
        <v>12</v>
      </c>
      <c r="P112" s="25">
        <f t="shared" si="109"/>
        <v>960</v>
      </c>
      <c r="Q112" s="25">
        <f t="shared" si="110"/>
        <v>2880</v>
      </c>
      <c r="R112" s="25">
        <f t="shared" si="111"/>
        <v>21120</v>
      </c>
      <c r="S112" s="25">
        <f t="shared" si="112"/>
        <v>18000</v>
      </c>
      <c r="T112" s="30">
        <f t="shared" si="113"/>
        <v>10</v>
      </c>
      <c r="U112" s="30">
        <f t="shared" si="114"/>
        <v>0.3</v>
      </c>
      <c r="V112" s="30">
        <f t="shared" si="115"/>
        <v>20</v>
      </c>
      <c r="W112" s="30">
        <f t="shared" si="116"/>
        <v>0.6</v>
      </c>
      <c r="X112" s="30">
        <f t="shared" si="117"/>
        <v>0.06</v>
      </c>
      <c r="Y112" s="7">
        <f t="shared" si="118"/>
        <v>0.11753279999999999</v>
      </c>
      <c r="Z112" s="7">
        <f t="shared" si="119"/>
        <v>2.9383199999999998E-2</v>
      </c>
      <c r="AA112" s="25">
        <f t="shared" si="120"/>
        <v>8</v>
      </c>
      <c r="AB112" s="25">
        <f t="shared" si="121"/>
        <v>24</v>
      </c>
      <c r="AC112" s="25">
        <f t="shared" si="122"/>
        <v>80</v>
      </c>
      <c r="AD112" s="25">
        <f t="shared" si="123"/>
        <v>8</v>
      </c>
      <c r="AE112" s="25">
        <f t="shared" si="124"/>
        <v>24</v>
      </c>
      <c r="AF112" s="25">
        <f t="shared" si="125"/>
        <v>80</v>
      </c>
      <c r="AG112" s="25">
        <f t="shared" si="126"/>
        <v>24.4</v>
      </c>
      <c r="AH112" s="30">
        <f t="shared" si="127"/>
        <v>0.71695007999999993</v>
      </c>
      <c r="AI112" s="25">
        <f t="shared" si="128"/>
        <v>11340000</v>
      </c>
      <c r="AJ112" s="25">
        <f t="shared" si="129"/>
        <v>3402000</v>
      </c>
      <c r="AK112" s="33">
        <f t="shared" si="130"/>
        <v>7317192.5164799988</v>
      </c>
      <c r="AL112" s="33">
        <f t="shared" si="131"/>
        <v>0</v>
      </c>
      <c r="AM112" s="5">
        <f t="shared" si="132"/>
        <v>0.70327477560595864</v>
      </c>
    </row>
    <row r="113" spans="1:39" x14ac:dyDescent="0.45">
      <c r="A113" t="s">
        <v>596</v>
      </c>
      <c r="B113" t="s">
        <v>597</v>
      </c>
      <c r="C113" s="6">
        <f t="shared" si="99"/>
        <v>0.1</v>
      </c>
      <c r="D113" s="6">
        <f t="shared" si="100"/>
        <v>0.3</v>
      </c>
      <c r="E113" s="22">
        <f t="shared" si="101"/>
        <v>1</v>
      </c>
      <c r="F113" s="25">
        <f t="shared" si="102"/>
        <v>4</v>
      </c>
      <c r="G113" s="6">
        <f t="shared" si="103"/>
        <v>0.4</v>
      </c>
      <c r="H113" s="4">
        <f t="shared" si="104"/>
        <v>3</v>
      </c>
      <c r="I113" s="6">
        <f t="shared" si="105"/>
        <v>0.8</v>
      </c>
      <c r="J113" s="4">
        <f t="shared" si="106"/>
        <v>1500</v>
      </c>
      <c r="K113" s="6">
        <f t="shared" si="107"/>
        <v>1</v>
      </c>
      <c r="L113" s="4">
        <f>IdxFlag</f>
        <v>6</v>
      </c>
      <c r="M113" s="4">
        <f>110</f>
        <v>110</v>
      </c>
      <c r="N113" s="6">
        <f>0</f>
        <v>0</v>
      </c>
      <c r="O113" s="25">
        <f t="shared" si="108"/>
        <v>12</v>
      </c>
      <c r="P113" s="25">
        <f t="shared" si="109"/>
        <v>960</v>
      </c>
      <c r="Q113" s="25">
        <f t="shared" si="110"/>
        <v>2880</v>
      </c>
      <c r="R113" s="25">
        <f t="shared" si="111"/>
        <v>21120</v>
      </c>
      <c r="S113" s="25">
        <f t="shared" si="112"/>
        <v>18000</v>
      </c>
      <c r="T113" s="30">
        <f t="shared" si="113"/>
        <v>32</v>
      </c>
      <c r="U113" s="30">
        <f t="shared" si="114"/>
        <v>0.4</v>
      </c>
      <c r="V113" s="30">
        <f t="shared" si="115"/>
        <v>64</v>
      </c>
      <c r="W113" s="30">
        <f t="shared" si="116"/>
        <v>4</v>
      </c>
      <c r="X113" s="30">
        <f t="shared" si="117"/>
        <v>0.4</v>
      </c>
      <c r="Y113" s="7">
        <f t="shared" si="118"/>
        <v>0.37712639999999997</v>
      </c>
      <c r="Z113" s="7">
        <f t="shared" si="119"/>
        <v>9.4281599999999993E-2</v>
      </c>
      <c r="AA113" s="25">
        <f t="shared" si="120"/>
        <v>8</v>
      </c>
      <c r="AB113" s="25">
        <f t="shared" si="121"/>
        <v>24</v>
      </c>
      <c r="AC113" s="25">
        <f t="shared" si="122"/>
        <v>80</v>
      </c>
      <c r="AD113" s="25">
        <f t="shared" si="123"/>
        <v>8</v>
      </c>
      <c r="AE113" s="25">
        <f t="shared" si="124"/>
        <v>24</v>
      </c>
      <c r="AF113" s="25">
        <f t="shared" si="125"/>
        <v>80</v>
      </c>
      <c r="AG113" s="25">
        <f t="shared" si="126"/>
        <v>24.4</v>
      </c>
      <c r="AH113" s="30">
        <f t="shared" si="127"/>
        <v>2.3004710399999997</v>
      </c>
      <c r="AI113" s="25">
        <f t="shared" si="128"/>
        <v>11340000</v>
      </c>
      <c r="AJ113" s="25">
        <f t="shared" si="129"/>
        <v>3402000</v>
      </c>
      <c r="AK113" s="33">
        <f t="shared" si="130"/>
        <v>23478607.434239998</v>
      </c>
      <c r="AL113" s="33">
        <f t="shared" si="131"/>
        <v>0</v>
      </c>
      <c r="AM113" s="5">
        <f t="shared" si="132"/>
        <v>0.64912433728795993</v>
      </c>
    </row>
    <row r="114" spans="1:39" x14ac:dyDescent="0.45">
      <c r="A114" t="s">
        <v>598</v>
      </c>
      <c r="B114" t="s">
        <v>599</v>
      </c>
      <c r="C114" s="6">
        <f t="shared" si="99"/>
        <v>0.1</v>
      </c>
      <c r="D114" s="6">
        <f t="shared" si="100"/>
        <v>0.3</v>
      </c>
      <c r="E114" s="22">
        <f t="shared" si="101"/>
        <v>1</v>
      </c>
      <c r="F114" s="25">
        <f t="shared" si="102"/>
        <v>4</v>
      </c>
      <c r="G114" s="6">
        <f t="shared" si="103"/>
        <v>0.4</v>
      </c>
      <c r="H114" s="4">
        <f t="shared" si="104"/>
        <v>3</v>
      </c>
      <c r="I114" s="6">
        <f t="shared" si="105"/>
        <v>0.8</v>
      </c>
      <c r="J114" s="4">
        <f t="shared" si="106"/>
        <v>1500</v>
      </c>
      <c r="K114" s="6">
        <f t="shared" si="107"/>
        <v>1</v>
      </c>
      <c r="L114" s="4">
        <f>IdxMini</f>
        <v>5</v>
      </c>
      <c r="M114" s="4">
        <f>115</f>
        <v>115</v>
      </c>
      <c r="N114" s="6">
        <f>0</f>
        <v>0</v>
      </c>
      <c r="O114" s="25">
        <f t="shared" si="108"/>
        <v>12</v>
      </c>
      <c r="P114" s="25">
        <f t="shared" si="109"/>
        <v>960</v>
      </c>
      <c r="Q114" s="25">
        <f t="shared" si="110"/>
        <v>2880</v>
      </c>
      <c r="R114" s="25">
        <f t="shared" si="111"/>
        <v>21120</v>
      </c>
      <c r="S114" s="25">
        <f t="shared" si="112"/>
        <v>18000</v>
      </c>
      <c r="T114" s="30">
        <f t="shared" si="113"/>
        <v>10</v>
      </c>
      <c r="U114" s="30">
        <f t="shared" si="114"/>
        <v>0.3</v>
      </c>
      <c r="V114" s="30">
        <f t="shared" si="115"/>
        <v>20</v>
      </c>
      <c r="W114" s="30">
        <f t="shared" si="116"/>
        <v>0.6</v>
      </c>
      <c r="X114" s="30">
        <f t="shared" si="117"/>
        <v>0.06</v>
      </c>
      <c r="Y114" s="7">
        <f t="shared" si="118"/>
        <v>0.11753279999999999</v>
      </c>
      <c r="Z114" s="7">
        <f t="shared" si="119"/>
        <v>2.9383199999999998E-2</v>
      </c>
      <c r="AA114" s="25">
        <f t="shared" si="120"/>
        <v>8</v>
      </c>
      <c r="AB114" s="25">
        <f t="shared" si="121"/>
        <v>24</v>
      </c>
      <c r="AC114" s="25">
        <f t="shared" si="122"/>
        <v>80</v>
      </c>
      <c r="AD114" s="25">
        <f t="shared" si="123"/>
        <v>8</v>
      </c>
      <c r="AE114" s="25">
        <f t="shared" si="124"/>
        <v>24</v>
      </c>
      <c r="AF114" s="25">
        <f t="shared" si="125"/>
        <v>80</v>
      </c>
      <c r="AG114" s="25">
        <f t="shared" si="126"/>
        <v>24.4</v>
      </c>
      <c r="AH114" s="30">
        <f t="shared" si="127"/>
        <v>0.71695007999999993</v>
      </c>
      <c r="AI114" s="25">
        <f t="shared" si="128"/>
        <v>11340000</v>
      </c>
      <c r="AJ114" s="25">
        <f t="shared" si="129"/>
        <v>3402000</v>
      </c>
      <c r="AK114" s="33">
        <f t="shared" si="130"/>
        <v>7317192.5164799988</v>
      </c>
      <c r="AL114" s="33">
        <f t="shared" si="131"/>
        <v>0</v>
      </c>
      <c r="AM114" s="5">
        <f t="shared" si="132"/>
        <v>0.70327477560595864</v>
      </c>
    </row>
    <row r="115" spans="1:39" x14ac:dyDescent="0.45">
      <c r="A115" t="s">
        <v>600</v>
      </c>
      <c r="B115" t="s">
        <v>601</v>
      </c>
      <c r="C115" s="6">
        <f t="shared" si="99"/>
        <v>0.1</v>
      </c>
      <c r="D115" s="6">
        <f t="shared" si="100"/>
        <v>0.3</v>
      </c>
      <c r="E115" s="22">
        <f t="shared" si="101"/>
        <v>1</v>
      </c>
      <c r="F115" s="25">
        <f t="shared" si="102"/>
        <v>4</v>
      </c>
      <c r="G115" s="6">
        <f t="shared" si="103"/>
        <v>0.4</v>
      </c>
      <c r="H115" s="4">
        <f t="shared" si="104"/>
        <v>3</v>
      </c>
      <c r="I115" s="6">
        <f t="shared" si="105"/>
        <v>0.8</v>
      </c>
      <c r="J115" s="4">
        <f t="shared" si="106"/>
        <v>1500</v>
      </c>
      <c r="K115" s="6">
        <f t="shared" si="107"/>
        <v>1</v>
      </c>
      <c r="L115" s="4">
        <f>IdxFlag</f>
        <v>6</v>
      </c>
      <c r="M115" s="4">
        <f>115</f>
        <v>115</v>
      </c>
      <c r="N115" s="6">
        <f>0</f>
        <v>0</v>
      </c>
      <c r="O115" s="25">
        <f t="shared" si="108"/>
        <v>12</v>
      </c>
      <c r="P115" s="25">
        <f t="shared" si="109"/>
        <v>960</v>
      </c>
      <c r="Q115" s="25">
        <f t="shared" si="110"/>
        <v>2880</v>
      </c>
      <c r="R115" s="25">
        <f t="shared" si="111"/>
        <v>21120</v>
      </c>
      <c r="S115" s="25">
        <f t="shared" si="112"/>
        <v>18000</v>
      </c>
      <c r="T115" s="30">
        <f t="shared" si="113"/>
        <v>32</v>
      </c>
      <c r="U115" s="30">
        <f t="shared" si="114"/>
        <v>0.4</v>
      </c>
      <c r="V115" s="30">
        <f t="shared" si="115"/>
        <v>64</v>
      </c>
      <c r="W115" s="30">
        <f t="shared" si="116"/>
        <v>4</v>
      </c>
      <c r="X115" s="30">
        <f t="shared" si="117"/>
        <v>0.4</v>
      </c>
      <c r="Y115" s="7">
        <f t="shared" si="118"/>
        <v>0.37712639999999997</v>
      </c>
      <c r="Z115" s="7">
        <f t="shared" si="119"/>
        <v>9.4281599999999993E-2</v>
      </c>
      <c r="AA115" s="25">
        <f t="shared" si="120"/>
        <v>8</v>
      </c>
      <c r="AB115" s="25">
        <f t="shared" si="121"/>
        <v>24</v>
      </c>
      <c r="AC115" s="25">
        <f t="shared" si="122"/>
        <v>80</v>
      </c>
      <c r="AD115" s="25">
        <f t="shared" si="123"/>
        <v>8</v>
      </c>
      <c r="AE115" s="25">
        <f t="shared" si="124"/>
        <v>24</v>
      </c>
      <c r="AF115" s="25">
        <f t="shared" si="125"/>
        <v>80</v>
      </c>
      <c r="AG115" s="25">
        <f t="shared" si="126"/>
        <v>24.4</v>
      </c>
      <c r="AH115" s="30">
        <f t="shared" si="127"/>
        <v>2.3004710399999997</v>
      </c>
      <c r="AI115" s="25">
        <f t="shared" si="128"/>
        <v>11340000</v>
      </c>
      <c r="AJ115" s="25">
        <f t="shared" si="129"/>
        <v>3402000</v>
      </c>
      <c r="AK115" s="33">
        <f t="shared" si="130"/>
        <v>23478607.434239998</v>
      </c>
      <c r="AL115" s="33">
        <f t="shared" si="131"/>
        <v>0</v>
      </c>
      <c r="AM115" s="5">
        <f t="shared" si="132"/>
        <v>0.64912433728795993</v>
      </c>
    </row>
    <row r="116" spans="1:39" x14ac:dyDescent="0.45">
      <c r="A116" t="s">
        <v>602</v>
      </c>
      <c r="B116" t="s">
        <v>603</v>
      </c>
      <c r="C116" s="6">
        <f t="shared" si="99"/>
        <v>0.1</v>
      </c>
      <c r="D116" s="6">
        <f t="shared" si="100"/>
        <v>0.3</v>
      </c>
      <c r="E116" s="22">
        <f t="shared" si="101"/>
        <v>1</v>
      </c>
      <c r="F116" s="25">
        <f t="shared" si="102"/>
        <v>4</v>
      </c>
      <c r="G116" s="6">
        <f t="shared" si="103"/>
        <v>0.4</v>
      </c>
      <c r="H116" s="4">
        <f t="shared" si="104"/>
        <v>3</v>
      </c>
      <c r="I116" s="6">
        <f t="shared" si="105"/>
        <v>0.8</v>
      </c>
      <c r="J116" s="4">
        <f t="shared" si="106"/>
        <v>1500</v>
      </c>
      <c r="K116" s="6">
        <f t="shared" si="107"/>
        <v>1</v>
      </c>
      <c r="L116" s="4">
        <f>IdxMini</f>
        <v>5</v>
      </c>
      <c r="M116" s="4">
        <f>120</f>
        <v>120</v>
      </c>
      <c r="N116" s="6">
        <f>0</f>
        <v>0</v>
      </c>
      <c r="O116" s="25">
        <f t="shared" si="108"/>
        <v>12</v>
      </c>
      <c r="P116" s="25">
        <f t="shared" si="109"/>
        <v>960</v>
      </c>
      <c r="Q116" s="25">
        <f t="shared" si="110"/>
        <v>2880</v>
      </c>
      <c r="R116" s="25">
        <f t="shared" si="111"/>
        <v>21120</v>
      </c>
      <c r="S116" s="25">
        <f t="shared" si="112"/>
        <v>18000</v>
      </c>
      <c r="T116" s="30">
        <f t="shared" si="113"/>
        <v>10</v>
      </c>
      <c r="U116" s="30">
        <f t="shared" si="114"/>
        <v>0.3</v>
      </c>
      <c r="V116" s="30">
        <f t="shared" si="115"/>
        <v>20</v>
      </c>
      <c r="W116" s="30">
        <f t="shared" si="116"/>
        <v>0.6</v>
      </c>
      <c r="X116" s="30">
        <f t="shared" si="117"/>
        <v>0.06</v>
      </c>
      <c r="Y116" s="7">
        <f t="shared" si="118"/>
        <v>0.11753279999999999</v>
      </c>
      <c r="Z116" s="7">
        <f t="shared" si="119"/>
        <v>2.9383199999999998E-2</v>
      </c>
      <c r="AA116" s="25">
        <f t="shared" si="120"/>
        <v>8</v>
      </c>
      <c r="AB116" s="25">
        <f t="shared" si="121"/>
        <v>24</v>
      </c>
      <c r="AC116" s="25">
        <f t="shared" si="122"/>
        <v>80</v>
      </c>
      <c r="AD116" s="25">
        <f t="shared" si="123"/>
        <v>8</v>
      </c>
      <c r="AE116" s="25">
        <f t="shared" si="124"/>
        <v>24</v>
      </c>
      <c r="AF116" s="25">
        <f t="shared" si="125"/>
        <v>80</v>
      </c>
      <c r="AG116" s="25">
        <f t="shared" si="126"/>
        <v>24.4</v>
      </c>
      <c r="AH116" s="30">
        <f t="shared" si="127"/>
        <v>0.71695007999999993</v>
      </c>
      <c r="AI116" s="25">
        <f t="shared" si="128"/>
        <v>11340000</v>
      </c>
      <c r="AJ116" s="25">
        <f t="shared" si="129"/>
        <v>3402000</v>
      </c>
      <c r="AK116" s="33">
        <f t="shared" si="130"/>
        <v>7317192.5164799988</v>
      </c>
      <c r="AL116" s="33">
        <f t="shared" si="131"/>
        <v>0</v>
      </c>
      <c r="AM116" s="5">
        <f t="shared" si="132"/>
        <v>0.70327477560595864</v>
      </c>
    </row>
    <row r="117" spans="1:39" x14ac:dyDescent="0.45">
      <c r="A117" t="s">
        <v>604</v>
      </c>
      <c r="B117" t="s">
        <v>605</v>
      </c>
      <c r="C117" s="6">
        <f t="shared" si="99"/>
        <v>0.1</v>
      </c>
      <c r="D117" s="6">
        <f t="shared" si="100"/>
        <v>0.3</v>
      </c>
      <c r="E117" s="22">
        <f t="shared" si="101"/>
        <v>1</v>
      </c>
      <c r="F117" s="25">
        <f t="shared" si="102"/>
        <v>4</v>
      </c>
      <c r="G117" s="6">
        <f t="shared" si="103"/>
        <v>0.4</v>
      </c>
      <c r="H117" s="4">
        <f t="shared" si="104"/>
        <v>3</v>
      </c>
      <c r="I117" s="6">
        <f t="shared" si="105"/>
        <v>0.8</v>
      </c>
      <c r="J117" s="4">
        <f t="shared" si="106"/>
        <v>1500</v>
      </c>
      <c r="K117" s="6">
        <f t="shared" si="107"/>
        <v>1</v>
      </c>
      <c r="L117" s="4">
        <f>IdxFlag</f>
        <v>6</v>
      </c>
      <c r="M117" s="4">
        <f>120</f>
        <v>120</v>
      </c>
      <c r="N117" s="6">
        <f>0</f>
        <v>0</v>
      </c>
      <c r="O117" s="25">
        <f t="shared" si="108"/>
        <v>12</v>
      </c>
      <c r="P117" s="25">
        <f t="shared" si="109"/>
        <v>960</v>
      </c>
      <c r="Q117" s="25">
        <f t="shared" si="110"/>
        <v>2880</v>
      </c>
      <c r="R117" s="25">
        <f t="shared" si="111"/>
        <v>21120</v>
      </c>
      <c r="S117" s="25">
        <f t="shared" si="112"/>
        <v>18000</v>
      </c>
      <c r="T117" s="30">
        <f t="shared" si="113"/>
        <v>32</v>
      </c>
      <c r="U117" s="30">
        <f t="shared" si="114"/>
        <v>0.4</v>
      </c>
      <c r="V117" s="30">
        <f t="shared" si="115"/>
        <v>64</v>
      </c>
      <c r="W117" s="30">
        <f t="shared" si="116"/>
        <v>4</v>
      </c>
      <c r="X117" s="30">
        <f t="shared" si="117"/>
        <v>0.4</v>
      </c>
      <c r="Y117" s="7">
        <f t="shared" si="118"/>
        <v>0.37712639999999997</v>
      </c>
      <c r="Z117" s="7">
        <f t="shared" si="119"/>
        <v>9.4281599999999993E-2</v>
      </c>
      <c r="AA117" s="25">
        <f t="shared" si="120"/>
        <v>8</v>
      </c>
      <c r="AB117" s="25">
        <f t="shared" si="121"/>
        <v>24</v>
      </c>
      <c r="AC117" s="25">
        <f t="shared" si="122"/>
        <v>80</v>
      </c>
      <c r="AD117" s="25">
        <f t="shared" si="123"/>
        <v>8</v>
      </c>
      <c r="AE117" s="25">
        <f t="shared" si="124"/>
        <v>24</v>
      </c>
      <c r="AF117" s="25">
        <f t="shared" si="125"/>
        <v>80</v>
      </c>
      <c r="AG117" s="25">
        <f t="shared" si="126"/>
        <v>24.4</v>
      </c>
      <c r="AH117" s="30">
        <f t="shared" si="127"/>
        <v>2.3004710399999997</v>
      </c>
      <c r="AI117" s="25">
        <f t="shared" si="128"/>
        <v>11340000</v>
      </c>
      <c r="AJ117" s="25">
        <f t="shared" si="129"/>
        <v>3402000</v>
      </c>
      <c r="AK117" s="33">
        <f t="shared" si="130"/>
        <v>23478607.434239998</v>
      </c>
      <c r="AL117" s="33">
        <f t="shared" si="131"/>
        <v>0</v>
      </c>
      <c r="AM117" s="5">
        <f t="shared" si="132"/>
        <v>0.64912433728795993</v>
      </c>
    </row>
    <row r="118" spans="1:39" x14ac:dyDescent="0.45">
      <c r="A118" t="s">
        <v>606</v>
      </c>
      <c r="B118" t="s">
        <v>607</v>
      </c>
      <c r="C118" s="6">
        <f t="shared" si="99"/>
        <v>0.1</v>
      </c>
      <c r="D118" s="6">
        <f t="shared" si="100"/>
        <v>0.3</v>
      </c>
      <c r="E118" s="22">
        <f t="shared" si="101"/>
        <v>1</v>
      </c>
      <c r="F118" s="25">
        <f t="shared" si="102"/>
        <v>4</v>
      </c>
      <c r="G118" s="6">
        <f t="shared" si="103"/>
        <v>0.4</v>
      </c>
      <c r="H118" s="4">
        <f t="shared" si="104"/>
        <v>3</v>
      </c>
      <c r="I118" s="6">
        <f>0</f>
        <v>0</v>
      </c>
      <c r="J118" s="4">
        <f t="shared" si="106"/>
        <v>1500</v>
      </c>
      <c r="K118" s="6">
        <f t="shared" si="107"/>
        <v>1</v>
      </c>
      <c r="L118" s="4">
        <f>IdxMini</f>
        <v>5</v>
      </c>
      <c r="M118" s="4">
        <f>PlanCap</f>
        <v>20</v>
      </c>
      <c r="N118" s="6">
        <f>0</f>
        <v>0</v>
      </c>
      <c r="O118" s="25">
        <f t="shared" si="108"/>
        <v>12</v>
      </c>
      <c r="P118" s="25">
        <f t="shared" si="109"/>
        <v>960</v>
      </c>
      <c r="Q118" s="25">
        <f t="shared" si="110"/>
        <v>2880</v>
      </c>
      <c r="R118" s="25">
        <f t="shared" si="111"/>
        <v>21120</v>
      </c>
      <c r="S118" s="25">
        <f t="shared" si="112"/>
        <v>18000</v>
      </c>
      <c r="T118" s="30">
        <f t="shared" si="113"/>
        <v>10</v>
      </c>
      <c r="U118" s="30">
        <f t="shared" si="114"/>
        <v>0.3</v>
      </c>
      <c r="V118" s="30">
        <f t="shared" si="115"/>
        <v>20</v>
      </c>
      <c r="W118" s="30">
        <f t="shared" si="116"/>
        <v>0.6</v>
      </c>
      <c r="X118" s="30">
        <f t="shared" si="117"/>
        <v>0.06</v>
      </c>
      <c r="Y118" s="7">
        <f t="shared" si="118"/>
        <v>0.28920000000000001</v>
      </c>
      <c r="Z118" s="7">
        <f t="shared" si="119"/>
        <v>7.2300000000000003E-2</v>
      </c>
      <c r="AA118" s="25">
        <f t="shared" si="120"/>
        <v>8</v>
      </c>
      <c r="AB118" s="25">
        <f t="shared" si="121"/>
        <v>24</v>
      </c>
      <c r="AC118" s="25">
        <f t="shared" si="122"/>
        <v>80</v>
      </c>
      <c r="AD118" s="25">
        <f t="shared" si="123"/>
        <v>8</v>
      </c>
      <c r="AE118" s="25">
        <f t="shared" si="124"/>
        <v>20</v>
      </c>
      <c r="AF118" s="25">
        <f t="shared" si="125"/>
        <v>20</v>
      </c>
      <c r="AG118" s="25">
        <f t="shared" si="126"/>
        <v>14</v>
      </c>
      <c r="AH118" s="30">
        <f t="shared" si="127"/>
        <v>1.0122</v>
      </c>
      <c r="AI118" s="25">
        <f t="shared" si="128"/>
        <v>11340000</v>
      </c>
      <c r="AJ118" s="25">
        <f t="shared" si="129"/>
        <v>3402000</v>
      </c>
      <c r="AK118" s="33">
        <f t="shared" si="130"/>
        <v>10330513.199999999</v>
      </c>
      <c r="AL118" s="33">
        <f t="shared" si="131"/>
        <v>0</v>
      </c>
      <c r="AM118" s="5">
        <f t="shared" si="132"/>
        <v>0.69317834304509496</v>
      </c>
    </row>
    <row r="119" spans="1:39" x14ac:dyDescent="0.45">
      <c r="A119" t="s">
        <v>608</v>
      </c>
      <c r="B119" t="s">
        <v>609</v>
      </c>
      <c r="C119" s="6">
        <f t="shared" si="99"/>
        <v>0.1</v>
      </c>
      <c r="D119" s="6">
        <f t="shared" si="100"/>
        <v>0.3</v>
      </c>
      <c r="E119" s="22">
        <f t="shared" si="101"/>
        <v>1</v>
      </c>
      <c r="F119" s="25">
        <f t="shared" si="102"/>
        <v>4</v>
      </c>
      <c r="G119" s="6">
        <f t="shared" si="103"/>
        <v>0.4</v>
      </c>
      <c r="H119" s="4">
        <f t="shared" si="104"/>
        <v>3</v>
      </c>
      <c r="I119" s="6">
        <f>1</f>
        <v>1</v>
      </c>
      <c r="J119" s="4">
        <f t="shared" si="106"/>
        <v>1500</v>
      </c>
      <c r="K119" s="6">
        <f t="shared" si="107"/>
        <v>1</v>
      </c>
      <c r="L119" s="4">
        <f>IdxMini</f>
        <v>5</v>
      </c>
      <c r="M119" s="4">
        <f>PlanCap</f>
        <v>20</v>
      </c>
      <c r="N119" s="6">
        <f>0</f>
        <v>0</v>
      </c>
      <c r="O119" s="25">
        <f t="shared" si="108"/>
        <v>12</v>
      </c>
      <c r="P119" s="25">
        <f t="shared" si="109"/>
        <v>960</v>
      </c>
      <c r="Q119" s="25">
        <f t="shared" si="110"/>
        <v>2880</v>
      </c>
      <c r="R119" s="25">
        <f t="shared" si="111"/>
        <v>21120</v>
      </c>
      <c r="S119" s="25">
        <f t="shared" si="112"/>
        <v>18000</v>
      </c>
      <c r="T119" s="30">
        <f t="shared" si="113"/>
        <v>10</v>
      </c>
      <c r="U119" s="30">
        <f t="shared" si="114"/>
        <v>0.3</v>
      </c>
      <c r="V119" s="30">
        <f t="shared" si="115"/>
        <v>20</v>
      </c>
      <c r="W119" s="30">
        <f t="shared" si="116"/>
        <v>0.6</v>
      </c>
      <c r="X119" s="30">
        <f t="shared" si="117"/>
        <v>0.06</v>
      </c>
      <c r="Y119" s="7">
        <f t="shared" si="118"/>
        <v>7.4616000000000002E-2</v>
      </c>
      <c r="Z119" s="7">
        <f t="shared" si="119"/>
        <v>1.8654E-2</v>
      </c>
      <c r="AA119" s="25">
        <f t="shared" si="120"/>
        <v>8</v>
      </c>
      <c r="AB119" s="25">
        <f t="shared" si="121"/>
        <v>24</v>
      </c>
      <c r="AC119" s="25">
        <f t="shared" si="122"/>
        <v>80</v>
      </c>
      <c r="AD119" s="25">
        <f t="shared" si="123"/>
        <v>8</v>
      </c>
      <c r="AE119" s="25">
        <f t="shared" si="124"/>
        <v>20</v>
      </c>
      <c r="AF119" s="25">
        <f t="shared" si="125"/>
        <v>20</v>
      </c>
      <c r="AG119" s="25">
        <f t="shared" si="126"/>
        <v>14</v>
      </c>
      <c r="AH119" s="30">
        <f t="shared" si="127"/>
        <v>0.261156</v>
      </c>
      <c r="AI119" s="25">
        <f t="shared" si="128"/>
        <v>11340000</v>
      </c>
      <c r="AJ119" s="25">
        <f t="shared" si="129"/>
        <v>3402000</v>
      </c>
      <c r="AK119" s="33">
        <f t="shared" si="130"/>
        <v>2665358.1359999999</v>
      </c>
      <c r="AL119" s="33">
        <f t="shared" si="131"/>
        <v>0</v>
      </c>
      <c r="AM119" s="5">
        <f t="shared" si="132"/>
        <v>0.71886121231138056</v>
      </c>
    </row>
    <row r="120" spans="1:39" x14ac:dyDescent="0.45">
      <c r="A120" t="s">
        <v>610</v>
      </c>
      <c r="B120" t="s">
        <v>611</v>
      </c>
      <c r="C120" s="6">
        <f t="shared" si="99"/>
        <v>0.1</v>
      </c>
      <c r="D120" s="6">
        <f t="shared" si="100"/>
        <v>0.3</v>
      </c>
      <c r="E120" s="22">
        <f t="shared" si="101"/>
        <v>1</v>
      </c>
      <c r="F120" s="25">
        <f t="shared" si="102"/>
        <v>4</v>
      </c>
      <c r="G120" s="6">
        <f t="shared" si="103"/>
        <v>0.4</v>
      </c>
      <c r="H120" s="4">
        <f t="shared" si="104"/>
        <v>3</v>
      </c>
      <c r="I120" s="6">
        <f>D_c</f>
        <v>0.8</v>
      </c>
      <c r="J120" s="4">
        <f t="shared" si="106"/>
        <v>1500</v>
      </c>
      <c r="K120" s="6">
        <f t="shared" si="107"/>
        <v>1</v>
      </c>
      <c r="L120" s="4">
        <f>IdxMini</f>
        <v>5</v>
      </c>
      <c r="M120" s="4">
        <f>CapMini</f>
        <v>35.379105807409275</v>
      </c>
      <c r="N120" s="6">
        <f>0</f>
        <v>0</v>
      </c>
      <c r="O120" s="25">
        <f t="shared" si="108"/>
        <v>12</v>
      </c>
      <c r="P120" s="25">
        <f t="shared" si="109"/>
        <v>960</v>
      </c>
      <c r="Q120" s="25">
        <f t="shared" si="110"/>
        <v>2880</v>
      </c>
      <c r="R120" s="25">
        <f t="shared" si="111"/>
        <v>21120</v>
      </c>
      <c r="S120" s="25">
        <f t="shared" si="112"/>
        <v>18000</v>
      </c>
      <c r="T120" s="30">
        <f t="shared" si="113"/>
        <v>10</v>
      </c>
      <c r="U120" s="30">
        <f t="shared" si="114"/>
        <v>0.3</v>
      </c>
      <c r="V120" s="30">
        <f t="shared" si="115"/>
        <v>20</v>
      </c>
      <c r="W120" s="30">
        <f t="shared" si="116"/>
        <v>0.6</v>
      </c>
      <c r="X120" s="30">
        <f t="shared" si="117"/>
        <v>0.06</v>
      </c>
      <c r="Y120" s="7">
        <f t="shared" si="118"/>
        <v>0.11753279999999999</v>
      </c>
      <c r="Z120" s="7">
        <f t="shared" si="119"/>
        <v>2.9383199999999998E-2</v>
      </c>
      <c r="AA120" s="25">
        <f t="shared" si="120"/>
        <v>8</v>
      </c>
      <c r="AB120" s="25">
        <f t="shared" si="121"/>
        <v>24</v>
      </c>
      <c r="AC120" s="25">
        <f t="shared" si="122"/>
        <v>80</v>
      </c>
      <c r="AD120" s="25">
        <f t="shared" si="123"/>
        <v>8</v>
      </c>
      <c r="AE120" s="25">
        <f t="shared" si="124"/>
        <v>24</v>
      </c>
      <c r="AF120" s="25">
        <f t="shared" si="125"/>
        <v>35.379105807409275</v>
      </c>
      <c r="AG120" s="25">
        <f t="shared" si="126"/>
        <v>17.70686587111139</v>
      </c>
      <c r="AH120" s="30">
        <f t="shared" si="127"/>
        <v>0.5202843812640402</v>
      </c>
      <c r="AI120" s="25">
        <f t="shared" si="128"/>
        <v>11340000</v>
      </c>
      <c r="AJ120" s="25">
        <f t="shared" si="129"/>
        <v>3402000</v>
      </c>
      <c r="AK120" s="33">
        <f t="shared" si="130"/>
        <v>5310022.3951807944</v>
      </c>
      <c r="AL120" s="33">
        <f t="shared" si="131"/>
        <v>0</v>
      </c>
      <c r="AM120" s="5">
        <f t="shared" si="132"/>
        <v>0.71</v>
      </c>
    </row>
    <row r="121" spans="1:39" x14ac:dyDescent="0.45">
      <c r="A121" t="s">
        <v>612</v>
      </c>
      <c r="B121" t="s">
        <v>613</v>
      </c>
      <c r="C121" s="6">
        <f t="shared" si="99"/>
        <v>0.1</v>
      </c>
      <c r="D121" s="6">
        <f t="shared" si="100"/>
        <v>0.3</v>
      </c>
      <c r="E121" s="22">
        <f t="shared" si="101"/>
        <v>1</v>
      </c>
      <c r="F121" s="25">
        <f t="shared" si="102"/>
        <v>4</v>
      </c>
      <c r="G121" s="6">
        <f t="shared" si="103"/>
        <v>0.4</v>
      </c>
      <c r="H121" s="4">
        <f t="shared" si="104"/>
        <v>3</v>
      </c>
      <c r="I121" s="6">
        <f>D_c</f>
        <v>0.8</v>
      </c>
      <c r="J121" s="4">
        <f t="shared" si="106"/>
        <v>1500</v>
      </c>
      <c r="K121" s="6">
        <f t="shared" si="107"/>
        <v>1</v>
      </c>
      <c r="L121" s="4">
        <f>IdxFlag</f>
        <v>6</v>
      </c>
      <c r="M121" s="4">
        <f>CapFlag</f>
        <v>5.5184084833524274</v>
      </c>
      <c r="N121" s="6">
        <f>0</f>
        <v>0</v>
      </c>
      <c r="O121" s="25">
        <f t="shared" si="108"/>
        <v>12</v>
      </c>
      <c r="P121" s="25">
        <f t="shared" si="109"/>
        <v>960</v>
      </c>
      <c r="Q121" s="25">
        <f t="shared" si="110"/>
        <v>2880</v>
      </c>
      <c r="R121" s="25">
        <f t="shared" si="111"/>
        <v>21120</v>
      </c>
      <c r="S121" s="25">
        <f t="shared" si="112"/>
        <v>18000</v>
      </c>
      <c r="T121" s="30">
        <f t="shared" si="113"/>
        <v>32</v>
      </c>
      <c r="U121" s="30">
        <f t="shared" si="114"/>
        <v>0.4</v>
      </c>
      <c r="V121" s="30">
        <f t="shared" si="115"/>
        <v>64</v>
      </c>
      <c r="W121" s="30">
        <f t="shared" si="116"/>
        <v>4</v>
      </c>
      <c r="X121" s="30">
        <f t="shared" si="117"/>
        <v>0.4</v>
      </c>
      <c r="Y121" s="7">
        <f t="shared" si="118"/>
        <v>0.37712639999999997</v>
      </c>
      <c r="Z121" s="7">
        <f t="shared" si="119"/>
        <v>9.4281599999999993E-2</v>
      </c>
      <c r="AA121" s="25">
        <f t="shared" si="120"/>
        <v>8</v>
      </c>
      <c r="AB121" s="25">
        <f t="shared" si="121"/>
        <v>24</v>
      </c>
      <c r="AC121" s="25">
        <f t="shared" si="122"/>
        <v>80</v>
      </c>
      <c r="AD121" s="25">
        <f t="shared" si="123"/>
        <v>5.5184084833524274</v>
      </c>
      <c r="AE121" s="25">
        <f t="shared" si="124"/>
        <v>5.5184084833524274</v>
      </c>
      <c r="AF121" s="25">
        <f t="shared" si="125"/>
        <v>5.5184084833524274</v>
      </c>
      <c r="AG121" s="25">
        <f t="shared" si="126"/>
        <v>5.5184084833524274</v>
      </c>
      <c r="AH121" s="30">
        <f t="shared" si="127"/>
        <v>0.5202843812640402</v>
      </c>
      <c r="AI121" s="25">
        <f t="shared" si="128"/>
        <v>11340000</v>
      </c>
      <c r="AJ121" s="25">
        <f t="shared" si="129"/>
        <v>3402000</v>
      </c>
      <c r="AK121" s="33">
        <f t="shared" si="130"/>
        <v>5310022.3951807944</v>
      </c>
      <c r="AL121" s="33">
        <f t="shared" si="131"/>
        <v>0</v>
      </c>
      <c r="AM121" s="5">
        <f t="shared" si="132"/>
        <v>0.71</v>
      </c>
    </row>
    <row r="122" spans="1:39" x14ac:dyDescent="0.45">
      <c r="A122" t="s">
        <v>614</v>
      </c>
      <c r="B122" t="s">
        <v>615</v>
      </c>
      <c r="C122" s="6">
        <f t="shared" si="99"/>
        <v>0.1</v>
      </c>
      <c r="D122" s="6">
        <f t="shared" si="100"/>
        <v>0.3</v>
      </c>
      <c r="E122" s="22">
        <f t="shared" si="101"/>
        <v>1</v>
      </c>
      <c r="F122" s="25">
        <f t="shared" si="102"/>
        <v>4</v>
      </c>
      <c r="G122" s="6">
        <f t="shared" si="103"/>
        <v>0.4</v>
      </c>
      <c r="H122" s="4">
        <f t="shared" si="104"/>
        <v>3</v>
      </c>
      <c r="I122" s="6">
        <f>D_c</f>
        <v>0.8</v>
      </c>
      <c r="J122" s="4">
        <f t="shared" si="106"/>
        <v>1500</v>
      </c>
      <c r="K122" s="6">
        <f t="shared" si="107"/>
        <v>1</v>
      </c>
      <c r="L122" s="4">
        <f>IdxMini</f>
        <v>5</v>
      </c>
      <c r="M122" s="4">
        <f>CapPlanRaw</f>
        <v>22.437589879343925</v>
      </c>
      <c r="N122" s="6">
        <f>0</f>
        <v>0</v>
      </c>
      <c r="O122" s="25">
        <f t="shared" si="108"/>
        <v>12</v>
      </c>
      <c r="P122" s="25">
        <f t="shared" si="109"/>
        <v>960</v>
      </c>
      <c r="Q122" s="25">
        <f t="shared" si="110"/>
        <v>2880</v>
      </c>
      <c r="R122" s="25">
        <f t="shared" si="111"/>
        <v>21120</v>
      </c>
      <c r="S122" s="25">
        <f t="shared" si="112"/>
        <v>18000</v>
      </c>
      <c r="T122" s="30">
        <f t="shared" si="113"/>
        <v>10</v>
      </c>
      <c r="U122" s="30">
        <f t="shared" si="114"/>
        <v>0.3</v>
      </c>
      <c r="V122" s="30">
        <f t="shared" si="115"/>
        <v>20</v>
      </c>
      <c r="W122" s="30">
        <f t="shared" si="116"/>
        <v>0.6</v>
      </c>
      <c r="X122" s="30">
        <f t="shared" si="117"/>
        <v>0.06</v>
      </c>
      <c r="Y122" s="7">
        <f t="shared" si="118"/>
        <v>0.11753279999999999</v>
      </c>
      <c r="Z122" s="7">
        <f t="shared" si="119"/>
        <v>2.9383199999999998E-2</v>
      </c>
      <c r="AA122" s="25">
        <f t="shared" si="120"/>
        <v>8</v>
      </c>
      <c r="AB122" s="25">
        <f t="shared" si="121"/>
        <v>24</v>
      </c>
      <c r="AC122" s="25">
        <f t="shared" si="122"/>
        <v>80</v>
      </c>
      <c r="AD122" s="25">
        <f t="shared" si="123"/>
        <v>8</v>
      </c>
      <c r="AE122" s="25">
        <f t="shared" si="124"/>
        <v>22.437589879343925</v>
      </c>
      <c r="AF122" s="25">
        <f t="shared" si="125"/>
        <v>22.437589879343925</v>
      </c>
      <c r="AG122" s="25">
        <f t="shared" si="126"/>
        <v>15.218794939671962</v>
      </c>
      <c r="AH122" s="30">
        <f t="shared" si="127"/>
        <v>0.44717689547136918</v>
      </c>
      <c r="AI122" s="25">
        <f t="shared" si="128"/>
        <v>11340000</v>
      </c>
      <c r="AJ122" s="25">
        <f t="shared" si="129"/>
        <v>3402000</v>
      </c>
      <c r="AK122" s="33">
        <f t="shared" si="130"/>
        <v>4563887.3951807944</v>
      </c>
      <c r="AL122" s="33">
        <f t="shared" si="131"/>
        <v>0</v>
      </c>
      <c r="AM122" s="5">
        <f t="shared" si="132"/>
        <v>0.71249999999999991</v>
      </c>
    </row>
    <row r="123" spans="1:39" x14ac:dyDescent="0.45">
      <c r="A123" t="s">
        <v>616</v>
      </c>
      <c r="B123" t="s">
        <v>617</v>
      </c>
      <c r="C123" s="6">
        <f t="shared" si="99"/>
        <v>0.1</v>
      </c>
      <c r="D123" s="6">
        <f t="shared" si="100"/>
        <v>0.3</v>
      </c>
      <c r="E123" s="22">
        <f t="shared" si="101"/>
        <v>1</v>
      </c>
      <c r="F123" s="25">
        <f t="shared" si="102"/>
        <v>4</v>
      </c>
      <c r="G123" s="6">
        <f t="shared" si="103"/>
        <v>0.4</v>
      </c>
      <c r="H123" s="4">
        <f t="shared" si="104"/>
        <v>3</v>
      </c>
      <c r="I123" s="6">
        <f>D_c</f>
        <v>0.8</v>
      </c>
      <c r="J123" s="4">
        <f t="shared" si="106"/>
        <v>1500</v>
      </c>
      <c r="K123" s="6">
        <f t="shared" si="107"/>
        <v>1</v>
      </c>
      <c r="L123" s="4">
        <f>IdxFlag</f>
        <v>6</v>
      </c>
      <c r="M123" s="4">
        <f>NoCap</f>
        <v>1000000</v>
      </c>
      <c r="N123" s="6">
        <f>PriceHoldFlag</f>
        <v>4.3972487059335865</v>
      </c>
      <c r="O123" s="25">
        <f t="shared" si="108"/>
        <v>12</v>
      </c>
      <c r="P123" s="25">
        <f t="shared" si="109"/>
        <v>960</v>
      </c>
      <c r="Q123" s="25">
        <f t="shared" si="110"/>
        <v>2880</v>
      </c>
      <c r="R123" s="25">
        <f t="shared" si="111"/>
        <v>21120</v>
      </c>
      <c r="S123" s="25">
        <f t="shared" si="112"/>
        <v>18000</v>
      </c>
      <c r="T123" s="30">
        <f t="shared" si="113"/>
        <v>32</v>
      </c>
      <c r="U123" s="30">
        <f t="shared" si="114"/>
        <v>0.4</v>
      </c>
      <c r="V123" s="30">
        <f t="shared" si="115"/>
        <v>64</v>
      </c>
      <c r="W123" s="30">
        <f t="shared" si="116"/>
        <v>4</v>
      </c>
      <c r="X123" s="30">
        <f t="shared" si="117"/>
        <v>0.4</v>
      </c>
      <c r="Y123" s="7">
        <f t="shared" si="118"/>
        <v>0.37712639999999997</v>
      </c>
      <c r="Z123" s="7">
        <f t="shared" si="119"/>
        <v>9.4281599999999993E-2</v>
      </c>
      <c r="AA123" s="25">
        <f t="shared" si="120"/>
        <v>8</v>
      </c>
      <c r="AB123" s="25">
        <f t="shared" si="121"/>
        <v>24</v>
      </c>
      <c r="AC123" s="25">
        <f t="shared" si="122"/>
        <v>80</v>
      </c>
      <c r="AD123" s="25">
        <f t="shared" si="123"/>
        <v>8</v>
      </c>
      <c r="AE123" s="25">
        <f t="shared" si="124"/>
        <v>24</v>
      </c>
      <c r="AF123" s="25">
        <f t="shared" si="125"/>
        <v>80</v>
      </c>
      <c r="AG123" s="25">
        <f t="shared" si="126"/>
        <v>24.4</v>
      </c>
      <c r="AH123" s="30">
        <f t="shared" si="127"/>
        <v>2.3004710399999997</v>
      </c>
      <c r="AI123" s="25">
        <f t="shared" si="128"/>
        <v>11340000</v>
      </c>
      <c r="AJ123" s="25">
        <f t="shared" si="129"/>
        <v>3402000</v>
      </c>
      <c r="AK123" s="33">
        <f t="shared" si="130"/>
        <v>23478607.434239998</v>
      </c>
      <c r="AL123" s="33">
        <f t="shared" si="131"/>
        <v>1021179662.8520157</v>
      </c>
      <c r="AM123" s="5">
        <f t="shared" si="132"/>
        <v>0.71</v>
      </c>
    </row>
    <row r="124" spans="1:39" x14ac:dyDescent="0.45">
      <c r="A124" t="s">
        <v>618</v>
      </c>
      <c r="B124" t="s">
        <v>619</v>
      </c>
      <c r="C124" s="6">
        <f t="shared" si="99"/>
        <v>0.1</v>
      </c>
      <c r="D124" s="6">
        <f>AdoptBreak</f>
        <v>0.37943284009524403</v>
      </c>
      <c r="E124" s="22">
        <f t="shared" si="101"/>
        <v>1</v>
      </c>
      <c r="F124" s="25">
        <f t="shared" si="102"/>
        <v>4</v>
      </c>
      <c r="G124" s="6">
        <f t="shared" si="103"/>
        <v>0.4</v>
      </c>
      <c r="H124" s="4">
        <f t="shared" si="104"/>
        <v>3</v>
      </c>
      <c r="I124" s="6">
        <f>D_c</f>
        <v>0.8</v>
      </c>
      <c r="J124" s="4">
        <f t="shared" si="106"/>
        <v>1500</v>
      </c>
      <c r="K124" s="6">
        <f t="shared" si="107"/>
        <v>1</v>
      </c>
      <c r="L124" s="4">
        <f>IdxMini</f>
        <v>5</v>
      </c>
      <c r="M124" s="4">
        <f>PlanCap</f>
        <v>20</v>
      </c>
      <c r="N124" s="6">
        <f>0</f>
        <v>0</v>
      </c>
      <c r="O124" s="25">
        <f t="shared" si="108"/>
        <v>12</v>
      </c>
      <c r="P124" s="25">
        <f t="shared" si="109"/>
        <v>960</v>
      </c>
      <c r="Q124" s="25">
        <f t="shared" si="110"/>
        <v>2880</v>
      </c>
      <c r="R124" s="25">
        <f t="shared" si="111"/>
        <v>21120</v>
      </c>
      <c r="S124" s="25">
        <f t="shared" si="112"/>
        <v>18000</v>
      </c>
      <c r="T124" s="30">
        <f t="shared" si="113"/>
        <v>10</v>
      </c>
      <c r="U124" s="30">
        <f t="shared" si="114"/>
        <v>0.3</v>
      </c>
      <c r="V124" s="30">
        <f t="shared" si="115"/>
        <v>20</v>
      </c>
      <c r="W124" s="30">
        <f t="shared" si="116"/>
        <v>0.6</v>
      </c>
      <c r="X124" s="30">
        <f t="shared" si="117"/>
        <v>0.06</v>
      </c>
      <c r="Y124" s="7">
        <f t="shared" si="118"/>
        <v>0.11753279999999999</v>
      </c>
      <c r="Z124" s="7">
        <f t="shared" si="119"/>
        <v>2.9383199999999998E-2</v>
      </c>
      <c r="AA124" s="25">
        <f t="shared" si="120"/>
        <v>8</v>
      </c>
      <c r="AB124" s="25">
        <f t="shared" si="121"/>
        <v>24</v>
      </c>
      <c r="AC124" s="25">
        <f t="shared" si="122"/>
        <v>80</v>
      </c>
      <c r="AD124" s="25">
        <f t="shared" si="123"/>
        <v>8</v>
      </c>
      <c r="AE124" s="25">
        <f t="shared" si="124"/>
        <v>20</v>
      </c>
      <c r="AF124" s="25">
        <f t="shared" si="125"/>
        <v>20</v>
      </c>
      <c r="AG124" s="25">
        <f t="shared" si="126"/>
        <v>14</v>
      </c>
      <c r="AH124" s="30">
        <f t="shared" si="127"/>
        <v>0.41136479999999997</v>
      </c>
      <c r="AI124" s="25">
        <f t="shared" si="128"/>
        <v>11340000</v>
      </c>
      <c r="AJ124" s="25">
        <f t="shared" si="129"/>
        <v>4302768.4066800671</v>
      </c>
      <c r="AK124" s="33">
        <f t="shared" si="130"/>
        <v>5310022.3951807935</v>
      </c>
      <c r="AL124" s="33">
        <f t="shared" si="131"/>
        <v>0</v>
      </c>
      <c r="AM124" s="5">
        <f t="shared" si="132"/>
        <v>0.71</v>
      </c>
    </row>
    <row r="125" spans="1:39" x14ac:dyDescent="0.45">
      <c r="A125" t="s">
        <v>620</v>
      </c>
      <c r="B125" t="s">
        <v>621</v>
      </c>
      <c r="C125" s="6">
        <f t="shared" si="99"/>
        <v>0.1</v>
      </c>
      <c r="D125" s="6">
        <f>D_adoptSuper</f>
        <v>0.3</v>
      </c>
      <c r="E125" s="22">
        <f t="shared" si="101"/>
        <v>1</v>
      </c>
      <c r="F125" s="25">
        <f t="shared" si="102"/>
        <v>4</v>
      </c>
      <c r="G125" s="6">
        <f t="shared" si="103"/>
        <v>0.4</v>
      </c>
      <c r="H125" s="4">
        <f t="shared" si="104"/>
        <v>3</v>
      </c>
      <c r="I125" s="6">
        <f>CBreak</f>
        <v>0.65497576538253399</v>
      </c>
      <c r="J125" s="4">
        <f t="shared" si="106"/>
        <v>1500</v>
      </c>
      <c r="K125" s="6">
        <f t="shared" si="107"/>
        <v>1</v>
      </c>
      <c r="L125" s="4">
        <f>IdxMini</f>
        <v>5</v>
      </c>
      <c r="M125" s="4">
        <f>PlanCap</f>
        <v>20</v>
      </c>
      <c r="N125" s="6">
        <f>0</f>
        <v>0</v>
      </c>
      <c r="O125" s="25">
        <f t="shared" si="108"/>
        <v>12</v>
      </c>
      <c r="P125" s="25">
        <f t="shared" si="109"/>
        <v>960</v>
      </c>
      <c r="Q125" s="25">
        <f t="shared" si="110"/>
        <v>2880</v>
      </c>
      <c r="R125" s="25">
        <f t="shared" si="111"/>
        <v>21120</v>
      </c>
      <c r="S125" s="25">
        <f t="shared" si="112"/>
        <v>18000</v>
      </c>
      <c r="T125" s="30">
        <f t="shared" si="113"/>
        <v>10</v>
      </c>
      <c r="U125" s="30">
        <f t="shared" si="114"/>
        <v>0.3</v>
      </c>
      <c r="V125" s="30">
        <f t="shared" si="115"/>
        <v>20</v>
      </c>
      <c r="W125" s="30">
        <f t="shared" si="116"/>
        <v>0.6</v>
      </c>
      <c r="X125" s="30">
        <f t="shared" si="117"/>
        <v>0.06</v>
      </c>
      <c r="Y125" s="7">
        <f t="shared" si="118"/>
        <v>0.14865268036115434</v>
      </c>
      <c r="Z125" s="7">
        <f t="shared" si="119"/>
        <v>3.7163170090288584E-2</v>
      </c>
      <c r="AA125" s="25">
        <f t="shared" si="120"/>
        <v>8</v>
      </c>
      <c r="AB125" s="25">
        <f t="shared" si="121"/>
        <v>24</v>
      </c>
      <c r="AC125" s="25">
        <f t="shared" si="122"/>
        <v>80</v>
      </c>
      <c r="AD125" s="25">
        <f t="shared" si="123"/>
        <v>8</v>
      </c>
      <c r="AE125" s="25">
        <f t="shared" si="124"/>
        <v>20</v>
      </c>
      <c r="AF125" s="25">
        <f t="shared" si="125"/>
        <v>20</v>
      </c>
      <c r="AG125" s="25">
        <f t="shared" si="126"/>
        <v>14</v>
      </c>
      <c r="AH125" s="30">
        <f t="shared" si="127"/>
        <v>0.5202843812640402</v>
      </c>
      <c r="AI125" s="25">
        <f t="shared" si="128"/>
        <v>11340000</v>
      </c>
      <c r="AJ125" s="25">
        <f t="shared" si="129"/>
        <v>3402000</v>
      </c>
      <c r="AK125" s="33">
        <f t="shared" si="130"/>
        <v>5310022.3951807944</v>
      </c>
      <c r="AL125" s="33">
        <f t="shared" si="131"/>
        <v>0</v>
      </c>
      <c r="AM125" s="5">
        <f t="shared" si="132"/>
        <v>0.71</v>
      </c>
    </row>
    <row r="126" spans="1:39" x14ac:dyDescent="0.45">
      <c r="A126" t="s">
        <v>622</v>
      </c>
      <c r="B126" t="s">
        <v>623</v>
      </c>
      <c r="C126" s="6">
        <f t="shared" si="99"/>
        <v>0.1</v>
      </c>
      <c r="D126" s="6">
        <f>AdoptBreakLow</f>
        <v>0.46191824011594934</v>
      </c>
      <c r="E126" s="22">
        <f t="shared" si="101"/>
        <v>1</v>
      </c>
      <c r="F126" s="25">
        <f t="shared" si="102"/>
        <v>4</v>
      </c>
      <c r="G126" s="6">
        <f t="shared" si="103"/>
        <v>0.4</v>
      </c>
      <c r="H126" s="4">
        <f t="shared" si="104"/>
        <v>3</v>
      </c>
      <c r="I126" s="6">
        <f>D_c</f>
        <v>0.8</v>
      </c>
      <c r="J126" s="4">
        <f t="shared" si="106"/>
        <v>1500</v>
      </c>
      <c r="K126" s="6">
        <f t="shared" si="107"/>
        <v>1</v>
      </c>
      <c r="L126" s="4">
        <f>IdxMini</f>
        <v>5</v>
      </c>
      <c r="M126" s="4">
        <f>CapLow</f>
        <v>15</v>
      </c>
      <c r="N126" s="6">
        <f>0</f>
        <v>0</v>
      </c>
      <c r="O126" s="25">
        <f t="shared" si="108"/>
        <v>12</v>
      </c>
      <c r="P126" s="25">
        <f t="shared" si="109"/>
        <v>960</v>
      </c>
      <c r="Q126" s="25">
        <f t="shared" si="110"/>
        <v>2880</v>
      </c>
      <c r="R126" s="25">
        <f t="shared" si="111"/>
        <v>21120</v>
      </c>
      <c r="S126" s="25">
        <f t="shared" si="112"/>
        <v>18000</v>
      </c>
      <c r="T126" s="30">
        <f t="shared" si="113"/>
        <v>10</v>
      </c>
      <c r="U126" s="30">
        <f t="shared" si="114"/>
        <v>0.3</v>
      </c>
      <c r="V126" s="30">
        <f t="shared" si="115"/>
        <v>20</v>
      </c>
      <c r="W126" s="30">
        <f t="shared" si="116"/>
        <v>0.6</v>
      </c>
      <c r="X126" s="30">
        <f t="shared" si="117"/>
        <v>0.06</v>
      </c>
      <c r="Y126" s="7">
        <f t="shared" si="118"/>
        <v>0.11753279999999999</v>
      </c>
      <c r="Z126" s="7">
        <f t="shared" si="119"/>
        <v>2.9383199999999998E-2</v>
      </c>
      <c r="AA126" s="25">
        <f t="shared" si="120"/>
        <v>8</v>
      </c>
      <c r="AB126" s="25">
        <f t="shared" si="121"/>
        <v>24</v>
      </c>
      <c r="AC126" s="25">
        <f t="shared" si="122"/>
        <v>80</v>
      </c>
      <c r="AD126" s="25">
        <f t="shared" si="123"/>
        <v>8</v>
      </c>
      <c r="AE126" s="25">
        <f t="shared" si="124"/>
        <v>15</v>
      </c>
      <c r="AF126" s="25">
        <f t="shared" si="125"/>
        <v>15</v>
      </c>
      <c r="AG126" s="25">
        <f t="shared" si="126"/>
        <v>11.5</v>
      </c>
      <c r="AH126" s="30">
        <f t="shared" si="127"/>
        <v>0.33790679999999995</v>
      </c>
      <c r="AI126" s="25">
        <f t="shared" si="128"/>
        <v>11340000</v>
      </c>
      <c r="AJ126" s="25">
        <f t="shared" si="129"/>
        <v>5238152.8429148654</v>
      </c>
      <c r="AK126" s="33">
        <f t="shared" si="130"/>
        <v>5310022.3951807935</v>
      </c>
      <c r="AL126" s="33">
        <f t="shared" si="131"/>
        <v>0</v>
      </c>
      <c r="AM126" s="5">
        <f t="shared" si="132"/>
        <v>0.71</v>
      </c>
    </row>
    <row r="127" spans="1:39" x14ac:dyDescent="0.45">
      <c r="A127" t="s">
        <v>624</v>
      </c>
      <c r="B127" t="s">
        <v>625</v>
      </c>
      <c r="C127" s="6">
        <f t="shared" si="99"/>
        <v>0.1</v>
      </c>
      <c r="D127" s="6">
        <f>J_adoptSuper_lo</f>
        <v>0.15</v>
      </c>
      <c r="E127" s="22">
        <f t="shared" si="101"/>
        <v>1</v>
      </c>
      <c r="F127" s="25">
        <f t="shared" si="102"/>
        <v>4</v>
      </c>
      <c r="G127" s="6">
        <f t="shared" si="103"/>
        <v>0.4</v>
      </c>
      <c r="H127" s="4">
        <f t="shared" si="104"/>
        <v>3</v>
      </c>
      <c r="I127" s="6">
        <f>D_c</f>
        <v>0.8</v>
      </c>
      <c r="J127" s="4">
        <f t="shared" si="106"/>
        <v>1500</v>
      </c>
      <c r="K127" s="6">
        <f t="shared" si="107"/>
        <v>1</v>
      </c>
      <c r="L127" s="4">
        <f>IdxFlag</f>
        <v>6</v>
      </c>
      <c r="M127" s="4">
        <f>NoCap</f>
        <v>1000000</v>
      </c>
      <c r="N127" s="6">
        <f>0</f>
        <v>0</v>
      </c>
      <c r="O127" s="25">
        <f t="shared" si="108"/>
        <v>12</v>
      </c>
      <c r="P127" s="25">
        <f t="shared" si="109"/>
        <v>960</v>
      </c>
      <c r="Q127" s="25">
        <f t="shared" si="110"/>
        <v>2880</v>
      </c>
      <c r="R127" s="25">
        <f t="shared" si="111"/>
        <v>21120</v>
      </c>
      <c r="S127" s="25">
        <f t="shared" si="112"/>
        <v>18000</v>
      </c>
      <c r="T127" s="30">
        <f t="shared" si="113"/>
        <v>32</v>
      </c>
      <c r="U127" s="30">
        <f t="shared" si="114"/>
        <v>0.4</v>
      </c>
      <c r="V127" s="30">
        <f t="shared" si="115"/>
        <v>64</v>
      </c>
      <c r="W127" s="30">
        <f t="shared" si="116"/>
        <v>4</v>
      </c>
      <c r="X127" s="30">
        <f t="shared" si="117"/>
        <v>0.4</v>
      </c>
      <c r="Y127" s="7">
        <f t="shared" si="118"/>
        <v>0.37712639999999997</v>
      </c>
      <c r="Z127" s="7">
        <f t="shared" si="119"/>
        <v>9.4281599999999993E-2</v>
      </c>
      <c r="AA127" s="25">
        <f t="shared" si="120"/>
        <v>8</v>
      </c>
      <c r="AB127" s="25">
        <f t="shared" si="121"/>
        <v>24</v>
      </c>
      <c r="AC127" s="25">
        <f t="shared" si="122"/>
        <v>80</v>
      </c>
      <c r="AD127" s="25">
        <f t="shared" si="123"/>
        <v>8</v>
      </c>
      <c r="AE127" s="25">
        <f t="shared" si="124"/>
        <v>24</v>
      </c>
      <c r="AF127" s="25">
        <f t="shared" si="125"/>
        <v>80</v>
      </c>
      <c r="AG127" s="25">
        <f t="shared" si="126"/>
        <v>24.4</v>
      </c>
      <c r="AH127" s="30">
        <f t="shared" si="127"/>
        <v>2.3004710399999997</v>
      </c>
      <c r="AI127" s="25">
        <f t="shared" si="128"/>
        <v>11340000</v>
      </c>
      <c r="AJ127" s="25">
        <f t="shared" si="129"/>
        <v>1701000</v>
      </c>
      <c r="AK127" s="33">
        <f t="shared" si="130"/>
        <v>11739303.717119999</v>
      </c>
      <c r="AL127" s="33">
        <f t="shared" si="131"/>
        <v>0</v>
      </c>
      <c r="AM127" s="5">
        <f t="shared" si="132"/>
        <v>0.68845804940815258</v>
      </c>
    </row>
    <row r="128" spans="1:39" x14ac:dyDescent="0.45">
      <c r="A128" t="s">
        <v>626</v>
      </c>
      <c r="B128" t="s">
        <v>627</v>
      </c>
      <c r="C128" s="6">
        <f t="shared" si="99"/>
        <v>0.1</v>
      </c>
      <c r="D128" s="6">
        <f>J_adoptSuper_lo</f>
        <v>0.15</v>
      </c>
      <c r="E128" s="22">
        <f t="shared" si="101"/>
        <v>1</v>
      </c>
      <c r="F128" s="25">
        <f t="shared" si="102"/>
        <v>4</v>
      </c>
      <c r="G128" s="6">
        <f t="shared" si="103"/>
        <v>0.4</v>
      </c>
      <c r="H128" s="4">
        <f t="shared" si="104"/>
        <v>3</v>
      </c>
      <c r="I128" s="6">
        <f>J_c_hi</f>
        <v>0.95</v>
      </c>
      <c r="J128" s="4">
        <f t="shared" si="106"/>
        <v>1500</v>
      </c>
      <c r="K128" s="6">
        <f t="shared" si="107"/>
        <v>1</v>
      </c>
      <c r="L128" s="4">
        <f>IdxFlag</f>
        <v>6</v>
      </c>
      <c r="M128" s="4">
        <f>NoCap</f>
        <v>1000000</v>
      </c>
      <c r="N128" s="6">
        <f>0</f>
        <v>0</v>
      </c>
      <c r="O128" s="25">
        <f t="shared" si="108"/>
        <v>12</v>
      </c>
      <c r="P128" s="25">
        <f t="shared" si="109"/>
        <v>960</v>
      </c>
      <c r="Q128" s="25">
        <f t="shared" si="110"/>
        <v>2880</v>
      </c>
      <c r="R128" s="25">
        <f t="shared" si="111"/>
        <v>21120</v>
      </c>
      <c r="S128" s="25">
        <f t="shared" si="112"/>
        <v>18000</v>
      </c>
      <c r="T128" s="30">
        <f t="shared" si="113"/>
        <v>32</v>
      </c>
      <c r="U128" s="30">
        <f t="shared" si="114"/>
        <v>0.4</v>
      </c>
      <c r="V128" s="30">
        <f t="shared" si="115"/>
        <v>64</v>
      </c>
      <c r="W128" s="30">
        <f t="shared" si="116"/>
        <v>4</v>
      </c>
      <c r="X128" s="30">
        <f t="shared" si="117"/>
        <v>0.4</v>
      </c>
      <c r="Y128" s="7">
        <f t="shared" si="118"/>
        <v>0.26729760000000002</v>
      </c>
      <c r="Z128" s="7">
        <f t="shared" si="119"/>
        <v>6.6824400000000006E-2</v>
      </c>
      <c r="AA128" s="25">
        <f t="shared" si="120"/>
        <v>8</v>
      </c>
      <c r="AB128" s="25">
        <f t="shared" si="121"/>
        <v>24</v>
      </c>
      <c r="AC128" s="25">
        <f t="shared" si="122"/>
        <v>80</v>
      </c>
      <c r="AD128" s="25">
        <f t="shared" si="123"/>
        <v>8</v>
      </c>
      <c r="AE128" s="25">
        <f t="shared" si="124"/>
        <v>24</v>
      </c>
      <c r="AF128" s="25">
        <f t="shared" si="125"/>
        <v>80</v>
      </c>
      <c r="AG128" s="25">
        <f t="shared" si="126"/>
        <v>24.4</v>
      </c>
      <c r="AH128" s="30">
        <f t="shared" si="127"/>
        <v>1.63051536</v>
      </c>
      <c r="AI128" s="25">
        <f t="shared" si="128"/>
        <v>11340000</v>
      </c>
      <c r="AJ128" s="25">
        <f t="shared" si="129"/>
        <v>1701000</v>
      </c>
      <c r="AK128" s="33">
        <f t="shared" si="130"/>
        <v>8320519.8820799999</v>
      </c>
      <c r="AL128" s="33">
        <f t="shared" si="131"/>
        <v>0</v>
      </c>
      <c r="AM128" s="5">
        <f t="shared" si="132"/>
        <v>0.69991302684199508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61"/>
  <sheetViews>
    <sheetView showGridLines="0" workbookViewId="0"/>
  </sheetViews>
  <sheetFormatPr defaultRowHeight="14.25" x14ac:dyDescent="0.45"/>
  <cols>
    <col min="1" max="1" width="2" customWidth="1"/>
    <col min="2" max="2" width="52" customWidth="1"/>
    <col min="3" max="4" width="11" customWidth="1"/>
    <col min="5" max="7" width="12" customWidth="1"/>
    <col min="8" max="8" width="11" customWidth="1"/>
    <col min="9" max="9" width="8" customWidth="1"/>
    <col min="10" max="10" width="11" customWidth="1"/>
  </cols>
  <sheetData>
    <row r="1" spans="2:10" ht="18" x14ac:dyDescent="0.55000000000000004">
      <c r="B1" s="1" t="s">
        <v>628</v>
      </c>
    </row>
    <row r="2" spans="2:10" x14ac:dyDescent="0.45">
      <c r="B2" s="2" t="s">
        <v>629</v>
      </c>
    </row>
    <row r="4" spans="2:10" ht="28.5" x14ac:dyDescent="0.45">
      <c r="B4" s="8" t="s">
        <v>217</v>
      </c>
      <c r="C4" s="8" t="s">
        <v>158</v>
      </c>
      <c r="D4" s="8" t="s">
        <v>159</v>
      </c>
      <c r="E4" s="8" t="s">
        <v>630</v>
      </c>
      <c r="F4" s="8" t="s">
        <v>631</v>
      </c>
      <c r="G4" s="8" t="s">
        <v>632</v>
      </c>
      <c r="H4" s="8" t="s">
        <v>633</v>
      </c>
      <c r="I4" s="8" t="s">
        <v>634</v>
      </c>
      <c r="J4" s="8" t="s">
        <v>635</v>
      </c>
    </row>
    <row r="5" spans="2:10" x14ac:dyDescent="0.45">
      <c r="B5" t="s">
        <v>164</v>
      </c>
      <c r="C5" s="6">
        <f>J_maxShare_lo</f>
        <v>7.0000000000000007E-2</v>
      </c>
      <c r="D5" s="6">
        <f>J_maxShare_hi</f>
        <v>0.13</v>
      </c>
      <c r="E5" s="5">
        <f>Engine!AM25</f>
        <v>0.71325573435578271</v>
      </c>
      <c r="F5" s="5">
        <f>Engine!AM26</f>
        <v>0.71419354256046419</v>
      </c>
      <c r="G5" s="5">
        <f>Model!$G$32</f>
        <v>0.71372463845812351</v>
      </c>
      <c r="H5" s="5">
        <f t="shared" ref="H5:H13" si="0">MAX(ABS(E5-G5),ABS(F5-G5))</f>
        <v>4.6890410234079472E-4</v>
      </c>
      <c r="I5" s="4">
        <f t="shared" ref="I5:I13" si="1">RANK(H5,$H$5:$H$13)</f>
        <v>8</v>
      </c>
      <c r="J5" s="6">
        <f>D_maxShare</f>
        <v>0.1</v>
      </c>
    </row>
    <row r="6" spans="2:10" x14ac:dyDescent="0.45">
      <c r="B6" t="s">
        <v>167</v>
      </c>
      <c r="C6" s="6">
        <f>J_adoptSuper_lo</f>
        <v>0.15</v>
      </c>
      <c r="D6" s="6">
        <f>J_adoptSuper_hi</f>
        <v>0.5</v>
      </c>
      <c r="E6" s="5">
        <f>Engine!AM27</f>
        <v>0.72075819999323443</v>
      </c>
      <c r="F6" s="5">
        <f>Engine!AM28</f>
        <v>0.70434655641130894</v>
      </c>
      <c r="G6" s="5">
        <f>Model!$G$32</f>
        <v>0.71372463845812351</v>
      </c>
      <c r="H6" s="5">
        <f t="shared" si="0"/>
        <v>9.378082046814562E-3</v>
      </c>
      <c r="I6" s="4">
        <f t="shared" si="1"/>
        <v>1</v>
      </c>
      <c r="J6" s="6">
        <f>D_adoptSuper</f>
        <v>0.3</v>
      </c>
    </row>
    <row r="7" spans="2:10" x14ac:dyDescent="0.45">
      <c r="B7" t="s">
        <v>173</v>
      </c>
      <c r="C7" s="22">
        <f>J_callsScale_lo</f>
        <v>0.6</v>
      </c>
      <c r="D7" s="22">
        <f>J_callsScale_hi</f>
        <v>1.5</v>
      </c>
      <c r="E7" s="5">
        <f>Engine!AM29</f>
        <v>0.71730170689597994</v>
      </c>
      <c r="F7" s="5">
        <f>Engine!AM30</f>
        <v>0.71171504944809172</v>
      </c>
      <c r="G7" s="5">
        <f>Model!$G$32</f>
        <v>0.71372463845812351</v>
      </c>
      <c r="H7" s="5">
        <f t="shared" si="0"/>
        <v>3.5770684378564344E-3</v>
      </c>
      <c r="I7" s="4">
        <f t="shared" si="1"/>
        <v>6</v>
      </c>
      <c r="J7" s="22">
        <f>D_callsScale</f>
        <v>1</v>
      </c>
    </row>
    <row r="8" spans="2:10" x14ac:dyDescent="0.45">
      <c r="B8" t="s">
        <v>177</v>
      </c>
      <c r="C8" s="25">
        <f>J_L_lo</f>
        <v>2.5</v>
      </c>
      <c r="D8" s="25">
        <f>J_L_hi</f>
        <v>6</v>
      </c>
      <c r="E8" s="5">
        <f>Engine!AM31</f>
        <v>0.71876886198737755</v>
      </c>
      <c r="F8" s="5">
        <f>Engine!AM32</f>
        <v>0.70818534250765874</v>
      </c>
      <c r="G8" s="5">
        <f>Model!$G$32</f>
        <v>0.71372463845812351</v>
      </c>
      <c r="H8" s="5">
        <f t="shared" si="0"/>
        <v>5.5392959504647621E-3</v>
      </c>
      <c r="I8" s="4">
        <f t="shared" si="1"/>
        <v>4</v>
      </c>
      <c r="J8" s="25">
        <f>D_L</f>
        <v>4</v>
      </c>
    </row>
    <row r="9" spans="2:10" x14ac:dyDescent="0.45">
      <c r="B9" t="s">
        <v>181</v>
      </c>
      <c r="C9" s="6">
        <f>J_s_lo</f>
        <v>0.3</v>
      </c>
      <c r="D9" s="6">
        <f>J_s_hi</f>
        <v>0.55000000000000004</v>
      </c>
      <c r="E9" s="5">
        <f>Engine!AM33</f>
        <v>0.7125090037110603</v>
      </c>
      <c r="F9" s="5">
        <f>Engine!AM34</f>
        <v>0.71554809057871827</v>
      </c>
      <c r="G9" s="5">
        <f>Model!$G$32</f>
        <v>0.71372463845812351</v>
      </c>
      <c r="H9" s="5">
        <f t="shared" si="0"/>
        <v>1.8234521205947596E-3</v>
      </c>
      <c r="I9" s="4">
        <f t="shared" si="1"/>
        <v>7</v>
      </c>
      <c r="J9" s="6">
        <f>D_s</f>
        <v>0.4</v>
      </c>
    </row>
    <row r="10" spans="2:10" x14ac:dyDescent="0.45">
      <c r="B10" t="s">
        <v>184</v>
      </c>
      <c r="C10" s="4">
        <f>J_r_lo</f>
        <v>2</v>
      </c>
      <c r="D10" s="4">
        <f>J_r_hi</f>
        <v>5</v>
      </c>
      <c r="E10" s="5">
        <f>Engine!AM35</f>
        <v>0.71590427845356663</v>
      </c>
      <c r="F10" s="5">
        <f>Engine!AM36</f>
        <v>0.70936535846723714</v>
      </c>
      <c r="G10" s="5">
        <f>Model!$G$32</f>
        <v>0.71372463845812351</v>
      </c>
      <c r="H10" s="5">
        <f t="shared" si="0"/>
        <v>4.3592799908863666E-3</v>
      </c>
      <c r="I10" s="4">
        <f t="shared" si="1"/>
        <v>5</v>
      </c>
      <c r="J10" s="4">
        <f>D_r</f>
        <v>3</v>
      </c>
    </row>
    <row r="11" spans="2:10" x14ac:dyDescent="0.45">
      <c r="B11" t="s">
        <v>187</v>
      </c>
      <c r="C11" s="6">
        <f>J_c_lo</f>
        <v>0.5</v>
      </c>
      <c r="D11" s="6">
        <f>J_c_hi</f>
        <v>0.95</v>
      </c>
      <c r="E11" s="5">
        <f>Engine!AM37</f>
        <v>0.70601977767823776</v>
      </c>
      <c r="F11" s="5">
        <f>Engine!AM38</f>
        <v>0.71757706884806627</v>
      </c>
      <c r="G11" s="5">
        <f>Model!$G$32</f>
        <v>0.71372463845812351</v>
      </c>
      <c r="H11" s="5">
        <f t="shared" si="0"/>
        <v>7.7048607798857471E-3</v>
      </c>
      <c r="I11" s="4">
        <f t="shared" si="1"/>
        <v>2</v>
      </c>
      <c r="J11" s="6">
        <f>D_c</f>
        <v>0.8</v>
      </c>
    </row>
    <row r="12" spans="2:10" x14ac:dyDescent="0.45">
      <c r="B12" t="s">
        <v>190</v>
      </c>
      <c r="C12" s="4">
        <f>J_sysTok_lo</f>
        <v>800</v>
      </c>
      <c r="D12" s="4">
        <f>J_sysTok_hi</f>
        <v>3000</v>
      </c>
      <c r="E12" s="5">
        <f>Engine!AM39</f>
        <v>0.71389354045039033</v>
      </c>
      <c r="F12" s="5">
        <f>Engine!AM40</f>
        <v>0.71336270561755177</v>
      </c>
      <c r="G12" s="5">
        <f>Model!$G$32</f>
        <v>0.71372463845812351</v>
      </c>
      <c r="H12" s="5">
        <f t="shared" si="0"/>
        <v>3.6193284057173258E-4</v>
      </c>
      <c r="I12" s="4">
        <f t="shared" si="1"/>
        <v>9</v>
      </c>
      <c r="J12" s="4">
        <f>D_sysTok</f>
        <v>1500</v>
      </c>
    </row>
    <row r="13" spans="2:10" x14ac:dyDescent="0.45">
      <c r="B13" t="s">
        <v>193</v>
      </c>
      <c r="C13" s="6">
        <f>J_realization_lo</f>
        <v>0.6</v>
      </c>
      <c r="D13" s="6">
        <f>J_realization_hi</f>
        <v>1</v>
      </c>
      <c r="E13" s="5">
        <f>Engine!AM41</f>
        <v>0.71935148768621227</v>
      </c>
      <c r="F13" s="5">
        <f>Engine!AM42</f>
        <v>0.71372463845812351</v>
      </c>
      <c r="G13" s="5">
        <f>Model!$G$32</f>
        <v>0.71372463845812351</v>
      </c>
      <c r="H13" s="5">
        <f t="shared" si="0"/>
        <v>5.6268492280887594E-3</v>
      </c>
      <c r="I13" s="4">
        <f t="shared" si="1"/>
        <v>3</v>
      </c>
      <c r="J13" s="6">
        <f>D_realization</f>
        <v>1</v>
      </c>
    </row>
    <row r="15" spans="2:10" x14ac:dyDescent="0.45">
      <c r="B15" s="3" t="s">
        <v>636</v>
      </c>
      <c r="C15" s="4">
        <f>MATCH(LARGE($H$5:$H$13,1),$H$5:$H$13,0)</f>
        <v>2</v>
      </c>
      <c r="D15" t="str">
        <f>INDEX($B$5:$B$13,C15)</f>
        <v>Super subscribers who make at least one call a month</v>
      </c>
    </row>
    <row r="16" spans="2:10" x14ac:dyDescent="0.45">
      <c r="B16" s="3" t="s">
        <v>637</v>
      </c>
      <c r="C16" s="4">
        <f>MATCH(LARGE($H$5:$H$13,2),$H$5:$H$13,0)</f>
        <v>7</v>
      </c>
      <c r="D16" t="str">
        <f>INDEX($B$5:$B$13,C16)</f>
        <v>Share of re-read conversation billed at the cached price</v>
      </c>
    </row>
    <row r="18" spans="2:7" ht="15.75" x14ac:dyDescent="0.5">
      <c r="B18" s="9" t="s">
        <v>638</v>
      </c>
    </row>
    <row r="19" spans="2:7" x14ac:dyDescent="0.45">
      <c r="B19" t="s">
        <v>639</v>
      </c>
      <c r="C19" s="22">
        <f>CHOOSE(1,INDEX($C$5:$C$13,Top2Idx),(INDEX($C$5:$C$13,Top2Idx)+INDEX($J$5:$J$13,Top2Idx))/2,INDEX($J$5:$J$13,Top2Idx),(INDEX($J$5:$J$13,Top2Idx)+INDEX($D$5:$D$13,Top2Idx))/2,INDEX($D$5:$D$13,Top2Idx))</f>
        <v>0.5</v>
      </c>
      <c r="D19" s="22">
        <f>CHOOSE(2,INDEX($C$5:$C$13,Top2Idx),(INDEX($C$5:$C$13,Top2Idx)+INDEX($J$5:$J$13,Top2Idx))/2,INDEX($J$5:$J$13,Top2Idx),(INDEX($J$5:$J$13,Top2Idx)+INDEX($D$5:$D$13,Top2Idx))/2,INDEX($D$5:$D$13,Top2Idx))</f>
        <v>0.65</v>
      </c>
      <c r="E19" s="22">
        <f>CHOOSE(3,INDEX($C$5:$C$13,Top2Idx),(INDEX($C$5:$C$13,Top2Idx)+INDEX($J$5:$J$13,Top2Idx))/2,INDEX($J$5:$J$13,Top2Idx),(INDEX($J$5:$J$13,Top2Idx)+INDEX($D$5:$D$13,Top2Idx))/2,INDEX($D$5:$D$13,Top2Idx))</f>
        <v>0.8</v>
      </c>
      <c r="F19" s="22">
        <f>CHOOSE(4,INDEX($C$5:$C$13,Top2Idx),(INDEX($C$5:$C$13,Top2Idx)+INDEX($J$5:$J$13,Top2Idx))/2,INDEX($J$5:$J$13,Top2Idx),(INDEX($J$5:$J$13,Top2Idx)+INDEX($D$5:$D$13,Top2Idx))/2,INDEX($D$5:$D$13,Top2Idx))</f>
        <v>0.875</v>
      </c>
      <c r="G19" s="22">
        <f>CHOOSE(5,INDEX($C$5:$C$13,Top2Idx),(INDEX($C$5:$C$13,Top2Idx)+INDEX($J$5:$J$13,Top2Idx))/2,INDEX($J$5:$J$13,Top2Idx),(INDEX($J$5:$J$13,Top2Idx)+INDEX($D$5:$D$13,Top2Idx))/2,INDEX($D$5:$D$13,Top2Idx))</f>
        <v>0.95</v>
      </c>
    </row>
    <row r="20" spans="2:7" x14ac:dyDescent="0.45">
      <c r="B20" s="22">
        <f>CHOOSE(1,INDEX($C$5:$C$13,Top1Idx),(INDEX($C$5:$C$13,Top1Idx)+INDEX($J$5:$J$13,Top1Idx))/2,INDEX($J$5:$J$13,Top1Idx),(INDEX($J$5:$J$13,Top1Idx)+INDEX($D$5:$D$13,Top1Idx))/2,INDEX($D$5:$D$13,Top1Idx))</f>
        <v>0.15</v>
      </c>
      <c r="C20" s="6">
        <f>Engine!AM43</f>
        <v>0.71690576960329155</v>
      </c>
      <c r="D20" s="6">
        <f>Engine!AM44</f>
        <v>0.71883198479826294</v>
      </c>
      <c r="E20" s="6">
        <f>Engine!AM45</f>
        <v>0.72075819999323443</v>
      </c>
      <c r="F20" s="6">
        <f>Engine!AM46</f>
        <v>0.72172130759072017</v>
      </c>
      <c r="G20" s="6">
        <f>Engine!AM47</f>
        <v>0.72268441518820581</v>
      </c>
    </row>
    <row r="21" spans="2:7" x14ac:dyDescent="0.45">
      <c r="B21" s="22">
        <f>CHOOSE(2,INDEX($C$5:$C$13,Top1Idx),(INDEX($C$5:$C$13,Top1Idx)+INDEX($J$5:$J$13,Top1Idx))/2,INDEX($J$5:$J$13,Top1Idx),(INDEX($J$5:$J$13,Top1Idx)+INDEX($D$5:$D$13,Top1Idx))/2,INDEX($D$5:$D$13,Top1Idx))</f>
        <v>0.22499999999999998</v>
      </c>
      <c r="C21" s="6">
        <f>Engine!AM48</f>
        <v>0.71146277364076471</v>
      </c>
      <c r="D21" s="6">
        <f>Engine!AM49</f>
        <v>0.71435209643322184</v>
      </c>
      <c r="E21" s="6">
        <f>Engine!AM50</f>
        <v>0.71724141922567897</v>
      </c>
      <c r="F21" s="6">
        <f>Engine!AM51</f>
        <v>0.71868608062190753</v>
      </c>
      <c r="G21" s="6">
        <f>Engine!AM52</f>
        <v>0.72013074201813609</v>
      </c>
    </row>
    <row r="22" spans="2:7" x14ac:dyDescent="0.45">
      <c r="B22" s="22">
        <f>CHOOSE(3,INDEX($C$5:$C$13,Top1Idx),(INDEX($C$5:$C$13,Top1Idx)+INDEX($J$5:$J$13,Top1Idx))/2,INDEX($J$5:$J$13,Top1Idx),(INDEX($J$5:$J$13,Top1Idx)+INDEX($D$5:$D$13,Top1Idx))/2,INDEX($D$5:$D$13,Top1Idx))</f>
        <v>0.3</v>
      </c>
      <c r="C22" s="6">
        <f>Engine!AM53</f>
        <v>0.70601977767823776</v>
      </c>
      <c r="D22" s="6">
        <f>Engine!AM54</f>
        <v>0.70987220806818063</v>
      </c>
      <c r="E22" s="6">
        <f>Engine!AM55</f>
        <v>0.71372463845812351</v>
      </c>
      <c r="F22" s="6">
        <f>Engine!AM56</f>
        <v>0.71565085365309489</v>
      </c>
      <c r="G22" s="6">
        <f>Engine!AM57</f>
        <v>0.71757706884806627</v>
      </c>
    </row>
    <row r="23" spans="2:7" x14ac:dyDescent="0.45">
      <c r="B23" s="22">
        <f>CHOOSE(4,INDEX($C$5:$C$13,Top1Idx),(INDEX($C$5:$C$13,Top1Idx)+INDEX($J$5:$J$13,Top1Idx))/2,INDEX($J$5:$J$13,Top1Idx),(INDEX($J$5:$J$13,Top1Idx)+INDEX($D$5:$D$13,Top1Idx))/2,INDEX($D$5:$D$13,Top1Idx))</f>
        <v>0.4</v>
      </c>
      <c r="C23" s="6">
        <f>Engine!AM58</f>
        <v>0.6987624497282019</v>
      </c>
      <c r="D23" s="6">
        <f>Engine!AM59</f>
        <v>0.70389902358145906</v>
      </c>
      <c r="E23" s="6">
        <f>Engine!AM60</f>
        <v>0.70903559743471622</v>
      </c>
      <c r="F23" s="6">
        <f>Engine!AM61</f>
        <v>0.7116038843613447</v>
      </c>
      <c r="G23" s="6">
        <f>Engine!AM62</f>
        <v>0.71417217128797328</v>
      </c>
    </row>
    <row r="24" spans="2:7" x14ac:dyDescent="0.45">
      <c r="B24" s="22">
        <f>CHOOSE(5,INDEX($C$5:$C$13,Top1Idx),(INDEX($C$5:$C$13,Top1Idx)+INDEX($J$5:$J$13,Top1Idx))/2,INDEX($J$5:$J$13,Top1Idx),(INDEX($J$5:$J$13,Top1Idx)+INDEX($D$5:$D$13,Top1Idx))/2,INDEX($D$5:$D$13,Top1Idx))</f>
        <v>0.5</v>
      </c>
      <c r="C24" s="6">
        <f>Engine!AM63</f>
        <v>0.69150512177816614</v>
      </c>
      <c r="D24" s="6">
        <f>Engine!AM64</f>
        <v>0.69792583909473749</v>
      </c>
      <c r="E24" s="6">
        <f>Engine!AM65</f>
        <v>0.70434655641130894</v>
      </c>
      <c r="F24" s="6">
        <f>Engine!AM66</f>
        <v>0.70755691506959462</v>
      </c>
      <c r="G24" s="6">
        <f>Engine!AM67</f>
        <v>0.71076727372788029</v>
      </c>
    </row>
    <row r="27" spans="2:7" ht="15.75" x14ac:dyDescent="0.5">
      <c r="B27" s="9" t="s">
        <v>640</v>
      </c>
    </row>
    <row r="28" spans="2:7" ht="28.5" x14ac:dyDescent="0.45">
      <c r="B28" s="8" t="s">
        <v>641</v>
      </c>
      <c r="C28" s="8" t="s">
        <v>345</v>
      </c>
      <c r="D28" s="8" t="s">
        <v>642</v>
      </c>
    </row>
    <row r="29" spans="2:7" x14ac:dyDescent="0.45">
      <c r="B29" s="4">
        <v>0</v>
      </c>
      <c r="C29" s="5">
        <f>Engine!AM68</f>
        <v>0.72779176152834535</v>
      </c>
      <c r="D29" s="5">
        <f>Engine!AM69</f>
        <v>0.72779176152834535</v>
      </c>
    </row>
    <row r="30" spans="2:7" x14ac:dyDescent="0.45">
      <c r="B30" s="4">
        <v>5</v>
      </c>
      <c r="C30" s="5">
        <f>Engine!AM70</f>
        <v>0.7227677890032661</v>
      </c>
      <c r="D30" s="5">
        <f>Engine!AM71</f>
        <v>0.71167138770859428</v>
      </c>
    </row>
    <row r="31" spans="2:7" x14ac:dyDescent="0.45">
      <c r="B31" s="4">
        <v>10</v>
      </c>
      <c r="C31" s="5">
        <f>Engine!AM72</f>
        <v>0.71874861098320275</v>
      </c>
      <c r="D31" s="5">
        <f>Engine!AM73</f>
        <v>0.69877508865279336</v>
      </c>
    </row>
    <row r="32" spans="2:7" x14ac:dyDescent="0.45">
      <c r="B32" s="4">
        <v>15</v>
      </c>
      <c r="C32" s="5">
        <f>Engine!AM74</f>
        <v>0.71623662472066307</v>
      </c>
      <c r="D32" s="5">
        <f>Engine!AM75</f>
        <v>0.69071490174291783</v>
      </c>
    </row>
    <row r="33" spans="2:4" x14ac:dyDescent="0.45">
      <c r="B33" s="4">
        <v>20</v>
      </c>
      <c r="C33" s="5">
        <f>Engine!AM76</f>
        <v>0.71372463845812351</v>
      </c>
      <c r="D33" s="5">
        <f>Engine!AM77</f>
        <v>0.68265471483304219</v>
      </c>
    </row>
    <row r="34" spans="2:4" x14ac:dyDescent="0.45">
      <c r="B34" s="4">
        <v>25</v>
      </c>
      <c r="C34" s="5">
        <f>Engine!AM78</f>
        <v>0.71156433027233945</v>
      </c>
      <c r="D34" s="5">
        <f>Engine!AM79</f>
        <v>0.67572295409054928</v>
      </c>
    </row>
    <row r="35" spans="2:4" x14ac:dyDescent="0.45">
      <c r="B35" s="4">
        <v>30</v>
      </c>
      <c r="C35" s="5">
        <f>Engine!AM80</f>
        <v>0.71081073439357756</v>
      </c>
      <c r="D35" s="5">
        <f>Engine!AM81</f>
        <v>0.67330489801758664</v>
      </c>
    </row>
    <row r="36" spans="2:4" x14ac:dyDescent="0.45">
      <c r="B36" s="4">
        <v>35</v>
      </c>
      <c r="C36" s="5">
        <f>Engine!AM82</f>
        <v>0.71005713851481567</v>
      </c>
      <c r="D36" s="5">
        <f>Engine!AM83</f>
        <v>0.67088684194462389</v>
      </c>
    </row>
    <row r="37" spans="2:4" x14ac:dyDescent="0.45">
      <c r="B37" s="4">
        <v>40</v>
      </c>
      <c r="C37" s="5">
        <f>Engine!AM84</f>
        <v>0.70930354263605377</v>
      </c>
      <c r="D37" s="5">
        <f>Engine!AM85</f>
        <v>0.66846878587166125</v>
      </c>
    </row>
    <row r="38" spans="2:4" x14ac:dyDescent="0.45">
      <c r="B38" s="4">
        <v>45</v>
      </c>
      <c r="C38" s="5">
        <f>Engine!AM86</f>
        <v>0.70854994675729188</v>
      </c>
      <c r="D38" s="5">
        <f>Engine!AM87</f>
        <v>0.66605072979869862</v>
      </c>
    </row>
    <row r="39" spans="2:4" x14ac:dyDescent="0.45">
      <c r="B39" s="4">
        <v>50</v>
      </c>
      <c r="C39" s="5">
        <f>Engine!AM88</f>
        <v>0.70779635087852999</v>
      </c>
      <c r="D39" s="5">
        <f>Engine!AM89</f>
        <v>0.66363267372573587</v>
      </c>
    </row>
    <row r="40" spans="2:4" x14ac:dyDescent="0.45">
      <c r="B40" s="4">
        <v>55</v>
      </c>
      <c r="C40" s="5">
        <f>Engine!AM90</f>
        <v>0.7070427549997681</v>
      </c>
      <c r="D40" s="5">
        <f>Engine!AM91</f>
        <v>0.66121461765277323</v>
      </c>
    </row>
    <row r="41" spans="2:4" x14ac:dyDescent="0.45">
      <c r="B41" s="4">
        <v>60</v>
      </c>
      <c r="C41" s="5">
        <f>Engine!AM92</f>
        <v>0.7062891591210062</v>
      </c>
      <c r="D41" s="5">
        <f>Engine!AM93</f>
        <v>0.65879656157981059</v>
      </c>
    </row>
    <row r="42" spans="2:4" x14ac:dyDescent="0.45">
      <c r="B42" s="4">
        <v>65</v>
      </c>
      <c r="C42" s="5">
        <f>Engine!AM94</f>
        <v>0.70553556324224431</v>
      </c>
      <c r="D42" s="5">
        <f>Engine!AM95</f>
        <v>0.65637850550684795</v>
      </c>
    </row>
    <row r="43" spans="2:4" x14ac:dyDescent="0.45">
      <c r="B43" s="4">
        <v>70</v>
      </c>
      <c r="C43" s="5">
        <f>Engine!AM96</f>
        <v>0.70478196736348242</v>
      </c>
      <c r="D43" s="5">
        <f>Engine!AM97</f>
        <v>0.6539604494338852</v>
      </c>
    </row>
    <row r="44" spans="2:4" x14ac:dyDescent="0.45">
      <c r="B44" s="4">
        <v>75</v>
      </c>
      <c r="C44" s="5">
        <f>Engine!AM98</f>
        <v>0.70402837148472053</v>
      </c>
      <c r="D44" s="5">
        <f>Engine!AM99</f>
        <v>0.65154239336092257</v>
      </c>
    </row>
    <row r="45" spans="2:4" x14ac:dyDescent="0.45">
      <c r="B45" s="4">
        <v>80</v>
      </c>
      <c r="C45" s="5">
        <f>Engine!AM100</f>
        <v>0.70327477560595864</v>
      </c>
      <c r="D45" s="5">
        <f>Engine!AM101</f>
        <v>0.64912433728795993</v>
      </c>
    </row>
    <row r="46" spans="2:4" x14ac:dyDescent="0.45">
      <c r="B46" s="4">
        <v>85</v>
      </c>
      <c r="C46" s="5">
        <f>Engine!AM102</f>
        <v>0.70327477560595864</v>
      </c>
      <c r="D46" s="5">
        <f>Engine!AM103</f>
        <v>0.64912433728795993</v>
      </c>
    </row>
    <row r="47" spans="2:4" x14ac:dyDescent="0.45">
      <c r="B47" s="4">
        <v>90</v>
      </c>
      <c r="C47" s="5">
        <f>Engine!AM104</f>
        <v>0.70327477560595864</v>
      </c>
      <c r="D47" s="5">
        <f>Engine!AM105</f>
        <v>0.64912433728795993</v>
      </c>
    </row>
    <row r="48" spans="2:4" x14ac:dyDescent="0.45">
      <c r="B48" s="4">
        <v>95</v>
      </c>
      <c r="C48" s="5">
        <f>Engine!AM106</f>
        <v>0.70327477560595864</v>
      </c>
      <c r="D48" s="5">
        <f>Engine!AM107</f>
        <v>0.64912433728795993</v>
      </c>
    </row>
    <row r="49" spans="2:5" x14ac:dyDescent="0.45">
      <c r="B49" s="4">
        <v>100</v>
      </c>
      <c r="C49" s="5">
        <f>Engine!AM108</f>
        <v>0.70327477560595864</v>
      </c>
      <c r="D49" s="5">
        <f>Engine!AM109</f>
        <v>0.64912433728795993</v>
      </c>
    </row>
    <row r="50" spans="2:5" x14ac:dyDescent="0.45">
      <c r="B50" s="4">
        <v>105</v>
      </c>
      <c r="C50" s="5">
        <f>Engine!AM110</f>
        <v>0.70327477560595864</v>
      </c>
      <c r="D50" s="5">
        <f>Engine!AM111</f>
        <v>0.64912433728795993</v>
      </c>
    </row>
    <row r="51" spans="2:5" x14ac:dyDescent="0.45">
      <c r="B51" s="4">
        <v>110</v>
      </c>
      <c r="C51" s="5">
        <f>Engine!AM112</f>
        <v>0.70327477560595864</v>
      </c>
      <c r="D51" s="5">
        <f>Engine!AM113</f>
        <v>0.64912433728795993</v>
      </c>
    </row>
    <row r="52" spans="2:5" x14ac:dyDescent="0.45">
      <c r="B52" s="4">
        <v>115</v>
      </c>
      <c r="C52" s="5">
        <f>Engine!AM114</f>
        <v>0.70327477560595864</v>
      </c>
      <c r="D52" s="5">
        <f>Engine!AM115</f>
        <v>0.64912433728795993</v>
      </c>
    </row>
    <row r="53" spans="2:5" x14ac:dyDescent="0.45">
      <c r="B53" s="4">
        <v>120</v>
      </c>
      <c r="C53" s="5">
        <f>Engine!AM116</f>
        <v>0.70327477560595864</v>
      </c>
      <c r="D53" s="5">
        <f>Engine!AM117</f>
        <v>0.64912433728795993</v>
      </c>
    </row>
    <row r="55" spans="2:5" ht="15.75" x14ac:dyDescent="0.5">
      <c r="B55" s="9" t="s">
        <v>643</v>
      </c>
    </row>
    <row r="56" spans="2:5" x14ac:dyDescent="0.45">
      <c r="B56" s="8" t="s">
        <v>14</v>
      </c>
      <c r="C56" s="8" t="s">
        <v>15</v>
      </c>
      <c r="D56" s="8" t="s">
        <v>16</v>
      </c>
      <c r="E56" s="8" t="s">
        <v>17</v>
      </c>
    </row>
    <row r="57" spans="2:5" x14ac:dyDescent="0.45">
      <c r="B57" t="s">
        <v>18</v>
      </c>
      <c r="C57" s="5">
        <f>Engine!AM10</f>
        <v>0.52971587226760841</v>
      </c>
      <c r="D57" s="5">
        <f>Engine!AM15</f>
        <v>0.64912433728795993</v>
      </c>
      <c r="E57" s="5">
        <f>Engine!AM20</f>
        <v>0.69398156366420549</v>
      </c>
    </row>
    <row r="58" spans="2:5" x14ac:dyDescent="0.45">
      <c r="B58" t="s">
        <v>19</v>
      </c>
      <c r="C58" s="5">
        <f>Engine!AM11</f>
        <v>0.66689087912587131</v>
      </c>
      <c r="D58" s="5">
        <f>Engine!AM16</f>
        <v>0.70327477560595864</v>
      </c>
      <c r="E58" s="5">
        <f>Engine!AM21</f>
        <v>0.71710331955106243</v>
      </c>
    </row>
    <row r="59" spans="2:5" x14ac:dyDescent="0.45">
      <c r="B59" t="s">
        <v>20</v>
      </c>
      <c r="C59" s="5">
        <f>Engine!AM12</f>
        <v>0.63287519416506655</v>
      </c>
      <c r="D59" s="5">
        <f>Engine!AM17</f>
        <v>0.68265471483304219</v>
      </c>
      <c r="E59" s="5">
        <f>Engine!AM22</f>
        <v>0.70541329040105605</v>
      </c>
    </row>
    <row r="60" spans="2:5" x14ac:dyDescent="0.45">
      <c r="B60" t="s">
        <v>21</v>
      </c>
      <c r="C60" s="5">
        <f>Engine!AM13</f>
        <v>0.69860848875036285</v>
      </c>
      <c r="D60" s="5">
        <f>Engine!AM18</f>
        <v>0.71372463845812351</v>
      </c>
      <c r="E60" s="5">
        <f>Engine!AM23</f>
        <v>0.72071723948190602</v>
      </c>
    </row>
    <row r="61" spans="2:5" x14ac:dyDescent="0.45">
      <c r="B61" t="s">
        <v>22</v>
      </c>
      <c r="C61" s="5">
        <f>Engine!AM14</f>
        <v>0.54903751964572445</v>
      </c>
      <c r="D61" s="5">
        <f>Engine!AM19</f>
        <v>0.6567980841381712</v>
      </c>
      <c r="E61" s="5">
        <f>Engine!AM24</f>
        <v>0.6972796365561329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25"/>
  <sheetViews>
    <sheetView showGridLines="0" workbookViewId="0"/>
  </sheetViews>
  <sheetFormatPr defaultRowHeight="14.25" x14ac:dyDescent="0.45"/>
  <cols>
    <col min="1" max="1" width="2" customWidth="1"/>
    <col min="2" max="2" width="70" customWidth="1"/>
    <col min="3" max="3" width="4" customWidth="1"/>
    <col min="4" max="4" width="16" customWidth="1"/>
    <col min="5" max="5" width="4" customWidth="1"/>
    <col min="6" max="6" width="80" customWidth="1"/>
  </cols>
  <sheetData>
    <row r="1" spans="2:6" ht="18" x14ac:dyDescent="0.55000000000000004">
      <c r="B1" s="1" t="s">
        <v>644</v>
      </c>
    </row>
    <row r="2" spans="2:6" x14ac:dyDescent="0.45">
      <c r="B2" s="2" t="s">
        <v>645</v>
      </c>
    </row>
    <row r="4" spans="2:6" ht="15.75" x14ac:dyDescent="0.5">
      <c r="B4" s="9" t="s">
        <v>646</v>
      </c>
    </row>
    <row r="5" spans="2:6" x14ac:dyDescent="0.45">
      <c r="B5" t="s">
        <v>647</v>
      </c>
      <c r="D5" s="4">
        <f>IdxHist</f>
        <v>2</v>
      </c>
      <c r="F5" s="11" t="s">
        <v>648</v>
      </c>
    </row>
    <row r="6" spans="2:6" x14ac:dyDescent="0.45">
      <c r="B6" t="s">
        <v>284</v>
      </c>
      <c r="D6" s="7">
        <f>INDEX(CallCost!$D$24:$I$24,D5)</f>
        <v>0.53400000000000003</v>
      </c>
      <c r="F6" s="11" t="s">
        <v>649</v>
      </c>
    </row>
    <row r="7" spans="2:6" x14ac:dyDescent="0.45">
      <c r="B7" t="s">
        <v>285</v>
      </c>
      <c r="D7" s="7">
        <f>INDEX(CallCost!$D$25:$I$25,D5)</f>
        <v>0.13350000000000001</v>
      </c>
      <c r="F7" s="11"/>
    </row>
    <row r="8" spans="2:6" x14ac:dyDescent="0.45">
      <c r="B8" t="s">
        <v>650</v>
      </c>
      <c r="D8" s="25">
        <f>(T_share1*T_calls1+T_share2*T_calls2+T_share3*T_calls3)*D_callsScale*D_usage2025*D_L</f>
        <v>12.2</v>
      </c>
      <c r="F8" s="11" t="s">
        <v>651</v>
      </c>
    </row>
    <row r="9" spans="2:6" x14ac:dyDescent="0.45">
      <c r="B9" t="s">
        <v>652</v>
      </c>
      <c r="D9" s="4">
        <f>(F_paidQ424+F_paidQ125)/2</f>
        <v>9900000</v>
      </c>
      <c r="F9" s="11" t="s">
        <v>292</v>
      </c>
    </row>
    <row r="10" spans="2:6" x14ac:dyDescent="0.45">
      <c r="B10" t="s">
        <v>653</v>
      </c>
      <c r="D10" s="4">
        <f>D9*D_maxShare*D_adoptMax</f>
        <v>594000</v>
      </c>
      <c r="F10" s="11"/>
    </row>
    <row r="11" spans="2:6" x14ac:dyDescent="0.45">
      <c r="B11" t="s">
        <v>654</v>
      </c>
      <c r="D11" s="33">
        <f>D10*D8*D7*3</f>
        <v>2902343.4000000004</v>
      </c>
      <c r="F11" s="11" t="s">
        <v>655</v>
      </c>
    </row>
    <row r="12" spans="2:6" x14ac:dyDescent="0.45">
      <c r="B12" t="s">
        <v>656</v>
      </c>
      <c r="D12" s="5">
        <f>F_gmQ124-F_gmQ125</f>
        <v>1.9124824427300013E-2</v>
      </c>
      <c r="F12" s="11" t="s">
        <v>657</v>
      </c>
    </row>
    <row r="13" spans="2:6" x14ac:dyDescent="0.45">
      <c r="B13" t="s">
        <v>658</v>
      </c>
      <c r="D13" s="33">
        <f>D12*F_revQ125</f>
        <v>4412919.3628284866</v>
      </c>
      <c r="F13" s="11"/>
    </row>
    <row r="14" spans="2:6" x14ac:dyDescent="0.45">
      <c r="B14" s="3" t="s">
        <v>659</v>
      </c>
      <c r="D14" s="6">
        <f>D11/D13</f>
        <v>0.65769237127861913</v>
      </c>
      <c r="F14" s="11"/>
    </row>
    <row r="15" spans="2:6" x14ac:dyDescent="0.45">
      <c r="B15" t="s">
        <v>660</v>
      </c>
      <c r="D15" s="5">
        <f>D11/F_revQ125</f>
        <v>1.2578251127878203E-2</v>
      </c>
      <c r="F15" s="11"/>
    </row>
    <row r="17" spans="2:6" ht="15.75" x14ac:dyDescent="0.5">
      <c r="B17" s="9" t="s">
        <v>661</v>
      </c>
    </row>
    <row r="18" spans="2:6" x14ac:dyDescent="0.45">
      <c r="B18" t="s">
        <v>662</v>
      </c>
      <c r="D18" s="5">
        <f>GMb</f>
        <v>0.72779176152834535</v>
      </c>
      <c r="F18" s="11" t="s">
        <v>663</v>
      </c>
    </row>
    <row r="19" spans="2:6" x14ac:dyDescent="0.45">
      <c r="B19" t="s">
        <v>664</v>
      </c>
      <c r="D19" s="16">
        <v>0.69</v>
      </c>
      <c r="F19" s="11" t="s">
        <v>665</v>
      </c>
    </row>
    <row r="20" spans="2:6" x14ac:dyDescent="0.45">
      <c r="B20" t="s">
        <v>666</v>
      </c>
      <c r="D20" s="5">
        <f>D19-D18</f>
        <v>-3.7791761528345402E-2</v>
      </c>
      <c r="F20" s="11" t="s">
        <v>667</v>
      </c>
    </row>
    <row r="21" spans="2:6" x14ac:dyDescent="0.45">
      <c r="B21" t="s">
        <v>668</v>
      </c>
      <c r="D21" s="5">
        <f>Model!$D$33</f>
        <v>-7.866742424038542E-2</v>
      </c>
      <c r="F21" s="11"/>
    </row>
    <row r="22" spans="2:6" x14ac:dyDescent="0.45">
      <c r="B22" t="s">
        <v>669</v>
      </c>
      <c r="D22" s="5">
        <f>Model!$E$33</f>
        <v>-2.4516985922386714E-2</v>
      </c>
      <c r="F22" s="11"/>
    </row>
    <row r="23" spans="2:6" x14ac:dyDescent="0.45">
      <c r="B23" t="s">
        <v>670</v>
      </c>
      <c r="D23" s="5">
        <f>Engine!AM127-GMb</f>
        <v>-3.9333712120192765E-2</v>
      </c>
      <c r="F23" s="11" t="s">
        <v>671</v>
      </c>
    </row>
    <row r="24" spans="2:6" x14ac:dyDescent="0.45">
      <c r="B24" t="s">
        <v>672</v>
      </c>
      <c r="D24" s="5">
        <f>Engine!AM128-GMb</f>
        <v>-2.7878734686350271E-2</v>
      </c>
      <c r="F24" s="11" t="s">
        <v>673</v>
      </c>
    </row>
    <row r="25" spans="2:6" x14ac:dyDescent="0.45">
      <c r="B25" t="s">
        <v>674</v>
      </c>
      <c r="D25" s="5">
        <f>History!E15</f>
        <v>0.72620906404337016</v>
      </c>
      <c r="F25" s="11" t="s">
        <v>675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E28"/>
  <sheetViews>
    <sheetView showGridLines="0" workbookViewId="0"/>
  </sheetViews>
  <sheetFormatPr defaultRowHeight="14.25" x14ac:dyDescent="0.45"/>
  <cols>
    <col min="1" max="1" width="2" customWidth="1"/>
    <col min="2" max="2" width="70" customWidth="1"/>
    <col min="3" max="3" width="16" customWidth="1"/>
    <col min="4" max="4" width="14" customWidth="1"/>
    <col min="5" max="5" width="8" customWidth="1"/>
  </cols>
  <sheetData>
    <row r="1" spans="2:5" ht="18" x14ac:dyDescent="0.55000000000000004">
      <c r="B1" s="1" t="s">
        <v>676</v>
      </c>
    </row>
    <row r="2" spans="2:5" x14ac:dyDescent="0.45">
      <c r="B2" s="2" t="s">
        <v>677</v>
      </c>
    </row>
    <row r="4" spans="2:5" x14ac:dyDescent="0.45">
      <c r="B4" s="8" t="s">
        <v>678</v>
      </c>
      <c r="C4" s="8" t="s">
        <v>30</v>
      </c>
      <c r="D4" s="8" t="s">
        <v>679</v>
      </c>
      <c r="E4" s="8" t="s">
        <v>680</v>
      </c>
    </row>
    <row r="5" spans="2:5" x14ac:dyDescent="0.45">
      <c r="B5" t="s">
        <v>681</v>
      </c>
      <c r="C5" s="36">
        <f>MAX(MAX(HistDiff),-MIN(HistDiff))</f>
        <v>4.8215917948479792E-4</v>
      </c>
      <c r="D5" s="37">
        <v>5.9999999999999995E-4</v>
      </c>
      <c r="E5" t="str">
        <f t="shared" ref="E5:E26" si="0">IF(ABS(C5)&lt;=D5,"OK","FAIL")</f>
        <v>OK</v>
      </c>
    </row>
    <row r="6" spans="2:5" x14ac:dyDescent="0.45">
      <c r="B6" t="s">
        <v>682</v>
      </c>
      <c r="C6" s="36">
        <f>MAX(MAX(ArpuDiff),-MIN(ArpuDiff))</f>
        <v>9.0030467163169647E-3</v>
      </c>
      <c r="D6" s="37">
        <v>1.4999999999999999E-2</v>
      </c>
      <c r="E6" t="str">
        <f t="shared" si="0"/>
        <v>OK</v>
      </c>
    </row>
    <row r="7" spans="2:5" x14ac:dyDescent="0.45">
      <c r="B7" t="s">
        <v>683</v>
      </c>
      <c r="C7" s="36">
        <f>ABS(TokIn-600)+ABS(TokOut-1200)</f>
        <v>0</v>
      </c>
      <c r="D7" s="37">
        <v>9.9999999999999995E-7</v>
      </c>
      <c r="E7" t="str">
        <f t="shared" si="0"/>
        <v>OK</v>
      </c>
    </row>
    <row r="8" spans="2:5" x14ac:dyDescent="0.45">
      <c r="B8" t="s">
        <v>684</v>
      </c>
      <c r="C8" s="36">
        <f>ABS(T_share1+T_share2+T_share3-1)</f>
        <v>0</v>
      </c>
      <c r="D8" s="37">
        <v>1.0000000000000001E-9</v>
      </c>
      <c r="E8" t="str">
        <f t="shared" si="0"/>
        <v>OK</v>
      </c>
    </row>
    <row r="9" spans="2:5" x14ac:dyDescent="0.45">
      <c r="B9" t="s">
        <v>685</v>
      </c>
      <c r="C9" s="36">
        <f>IF(AND(T_calls1&lt;=T_calls2,T_calls2&lt;=T_calls3),0,1)</f>
        <v>0</v>
      </c>
      <c r="D9" s="37">
        <v>0</v>
      </c>
      <c r="E9" t="str">
        <f t="shared" si="0"/>
        <v>OK</v>
      </c>
    </row>
    <row r="10" spans="2:5" x14ac:dyDescent="0.45">
      <c r="B10" t="s">
        <v>686</v>
      </c>
      <c r="C10" s="36">
        <f>ABS(CallCost!D24-(CallCost!D20+CallCost!D21+CallCost!D22+CallCost!D23))+ABS(CallCost!E24-(CallCost!E20+CallCost!E21+CallCost!E22+CallCost!E23))+ABS(CallCost!F24-(CallCost!F20+CallCost!F21+CallCost!F22+CallCost!F23))+ABS(CallCost!G24-(CallCost!G20+CallCost!G21+CallCost!G22+CallCost!G23))+ABS(CallCost!H24-(CallCost!H20+CallCost!H21+CallCost!H22+CallCost!H23))+ABS(CallCost!I24-(CallCost!I20+CallCost!I21+CallCost!I22+CallCost!I23))</f>
        <v>0</v>
      </c>
      <c r="D10" s="37">
        <v>1.0000000000000001E-9</v>
      </c>
      <c r="E10" t="str">
        <f t="shared" si="0"/>
        <v>OK</v>
      </c>
    </row>
    <row r="11" spans="2:5" x14ac:dyDescent="0.45">
      <c r="B11" t="s">
        <v>687</v>
      </c>
      <c r="C11" s="36">
        <f>ABS(Model!D32-Engine!AM5)+ABS(Model!D30-Engine!AK5)/1000000+ABS(Model!E32-Engine!AM6)+ABS(Model!E30-Engine!AK6)/1000000+ABS(Model!F32-Engine!AM7)+ABS(Model!F30-Engine!AK7)/1000000+ABS(Model!G32-Engine!AM8)+ABS(Model!G30-Engine!AK8)/1000000+ABS(Model!H32-Engine!AM9)+ABS(Model!H30-Engine!AK9)/1000000</f>
        <v>0</v>
      </c>
      <c r="D11" s="37">
        <v>1.0000000000000001E-9</v>
      </c>
      <c r="E11" t="str">
        <f t="shared" si="0"/>
        <v>OK</v>
      </c>
    </row>
    <row r="12" spans="2:5" x14ac:dyDescent="0.45">
      <c r="B12" t="s">
        <v>688</v>
      </c>
      <c r="C12" s="36">
        <f>IF(CapMini&gt;=Model!$E$22,MAX(0,TargetM-Engine!AM120),ABS(Engine!AM120-TargetM))</f>
        <v>0</v>
      </c>
      <c r="D12" s="37">
        <v>1.0000000000000001E-9</v>
      </c>
      <c r="E12" t="str">
        <f t="shared" si="0"/>
        <v>OK</v>
      </c>
    </row>
    <row r="13" spans="2:5" x14ac:dyDescent="0.45">
      <c r="B13" t="s">
        <v>689</v>
      </c>
      <c r="C13" s="36">
        <f>IF(CapFlag&gt;=Model!$D$22,MAX(0,TargetM-Engine!AM121),ABS(Engine!AM121-TargetM))</f>
        <v>0</v>
      </c>
      <c r="D13" s="37">
        <v>1.0000000000000001E-9</v>
      </c>
      <c r="E13" t="str">
        <f t="shared" si="0"/>
        <v>OK</v>
      </c>
    </row>
    <row r="14" spans="2:5" x14ac:dyDescent="0.45">
      <c r="B14" t="s">
        <v>690</v>
      </c>
      <c r="C14" s="36">
        <f>IF(CapPlanRaw&gt;=Model!$E$22,MAX(0,TargetM+D_headroom-Engine!AM122),ABS(Engine!AM122-TargetM-D_headroom))</f>
        <v>5.3342746886286818E-17</v>
      </c>
      <c r="D14" s="37">
        <v>1.0000000000000001E-9</v>
      </c>
      <c r="E14" t="str">
        <f t="shared" si="0"/>
        <v>OK</v>
      </c>
    </row>
    <row r="15" spans="2:5" x14ac:dyDescent="0.45">
      <c r="B15" t="s">
        <v>691</v>
      </c>
      <c r="C15" s="36">
        <f>MAX(0,PlanCap-CapPlanRaw)</f>
        <v>0</v>
      </c>
      <c r="D15" s="37">
        <v>1.0000000000000001E-9</v>
      </c>
      <c r="E15" t="str">
        <f t="shared" si="0"/>
        <v>OK</v>
      </c>
    </row>
    <row r="16" spans="2:5" x14ac:dyDescent="0.45">
      <c r="B16" t="s">
        <v>692</v>
      </c>
      <c r="C16" s="36">
        <f>ABS(Engine!AM123-TargetM)</f>
        <v>0</v>
      </c>
      <c r="D16" s="37">
        <v>1.0000000000000001E-9</v>
      </c>
      <c r="E16" t="str">
        <f t="shared" si="0"/>
        <v>OK</v>
      </c>
    </row>
    <row r="17" spans="2:5" x14ac:dyDescent="0.45">
      <c r="B17" t="s">
        <v>693</v>
      </c>
      <c r="C17" s="36">
        <f>ABS((Rev+Model!H31)*Model!H32-Rev*GMb)/1000000</f>
        <v>0</v>
      </c>
      <c r="D17" s="37">
        <v>1.0000000000000001E-9</v>
      </c>
      <c r="E17" t="str">
        <f t="shared" si="0"/>
        <v>OK</v>
      </c>
    </row>
    <row r="18" spans="2:5" x14ac:dyDescent="0.45">
      <c r="B18" t="s">
        <v>694</v>
      </c>
      <c r="C18" s="36">
        <f>IF(Model!$G$27=0,0,ABS(Engine!AM124-TargetM))</f>
        <v>0</v>
      </c>
      <c r="D18" s="37">
        <v>1.0000000000000001E-9</v>
      </c>
      <c r="E18" t="str">
        <f t="shared" si="0"/>
        <v>OK</v>
      </c>
    </row>
    <row r="19" spans="2:5" x14ac:dyDescent="0.45">
      <c r="B19" t="s">
        <v>695</v>
      </c>
      <c r="C19" s="36">
        <f>IF(CBreak=0,0,ABS(Engine!AM125-TargetM))</f>
        <v>0</v>
      </c>
      <c r="D19" s="37">
        <v>1.0000000000000001E-9</v>
      </c>
      <c r="E19" t="str">
        <f t="shared" si="0"/>
        <v>OK</v>
      </c>
    </row>
    <row r="20" spans="2:5" x14ac:dyDescent="0.45">
      <c r="B20" t="s">
        <v>696</v>
      </c>
      <c r="C20" s="36">
        <f>IF(CostPerCallerLow=0,0,ABS(Engine!AM126-TargetM))</f>
        <v>0</v>
      </c>
      <c r="D20" s="37">
        <v>1.0000000000000001E-9</v>
      </c>
      <c r="E20" t="str">
        <f t="shared" si="0"/>
        <v>OK</v>
      </c>
    </row>
    <row r="21" spans="2:5" x14ac:dyDescent="0.45">
      <c r="B21" t="s">
        <v>697</v>
      </c>
      <c r="C21" s="36">
        <f>ABS(Sensitivity!D60-Model!G32)</f>
        <v>0</v>
      </c>
      <c r="D21" s="37">
        <v>9.9999999999999998E-13</v>
      </c>
      <c r="E21" t="str">
        <f t="shared" si="0"/>
        <v>OK</v>
      </c>
    </row>
    <row r="22" spans="2:5" x14ac:dyDescent="0.45">
      <c r="B22" t="s">
        <v>698</v>
      </c>
      <c r="C22" s="36">
        <f>ABS(Sensitivity!E22-Model!G32)</f>
        <v>0</v>
      </c>
      <c r="D22" s="37">
        <v>9.9999999999999998E-13</v>
      </c>
      <c r="E22" t="str">
        <f t="shared" si="0"/>
        <v>OK</v>
      </c>
    </row>
    <row r="23" spans="2:5" x14ac:dyDescent="0.45">
      <c r="B23" t="s">
        <v>699</v>
      </c>
      <c r="C23" s="36">
        <f>IF(Top1Idx=Top2Idx,1,ABS(Sensitivity!B20-INDEX(Sensitivity!$C$5:$C$13,Top1Idx)))</f>
        <v>0</v>
      </c>
      <c r="D23" s="37">
        <v>9.9999999999999998E-13</v>
      </c>
      <c r="E23" t="str">
        <f t="shared" si="0"/>
        <v>OK</v>
      </c>
    </row>
    <row r="24" spans="2:5" x14ac:dyDescent="0.45">
      <c r="B24" t="s">
        <v>700</v>
      </c>
      <c r="C24" s="36">
        <f>MAX(0,Sensitivity!C30-Sensitivity!C29)+MAX(0,Sensitivity!D30-Sensitivity!D29)+MAX(0,Sensitivity!C31-Sensitivity!C30)+MAX(0,Sensitivity!D31-Sensitivity!D30)+MAX(0,Sensitivity!C32-Sensitivity!C31)+MAX(0,Sensitivity!D32-Sensitivity!D31)+MAX(0,Sensitivity!C33-Sensitivity!C32)+MAX(0,Sensitivity!D33-Sensitivity!D32)+MAX(0,Sensitivity!C34-Sensitivity!C33)+MAX(0,Sensitivity!D34-Sensitivity!D33)+MAX(0,Sensitivity!C35-Sensitivity!C34)+MAX(0,Sensitivity!D35-Sensitivity!D34)+MAX(0,Sensitivity!C36-Sensitivity!C35)+MAX(0,Sensitivity!D36-Sensitivity!D35)+MAX(0,Sensitivity!C37-Sensitivity!C36)+MAX(0,Sensitivity!D37-Sensitivity!D36)+MAX(0,Sensitivity!C38-Sensitivity!C37)+MAX(0,Sensitivity!D38-Sensitivity!D37)+MAX(0,Sensitivity!C39-Sensitivity!C38)+MAX(0,Sensitivity!D39-Sensitivity!D38)+MAX(0,Sensitivity!C40-Sensitivity!C39)+MAX(0,Sensitivity!D40-Sensitivity!D39)+MAX(0,Sensitivity!C41-Sensitivity!C40)+MAX(0,Sensitivity!D41-Sensitivity!D40)+MAX(0,Sensitivity!C42-Sensitivity!C41)+MAX(0,Sensitivity!D42-Sensitivity!D41)+MAX(0,Sensitivity!C43-Sensitivity!C42)+MAX(0,Sensitivity!D43-Sensitivity!D42)+MAX(0,Sensitivity!C44-Sensitivity!C43)+MAX(0,Sensitivity!D44-Sensitivity!D43)+MAX(0,Sensitivity!C45-Sensitivity!C44)+MAX(0,Sensitivity!D45-Sensitivity!D44)+MAX(0,Sensitivity!C46-Sensitivity!C45)+MAX(0,Sensitivity!D46-Sensitivity!D45)+MAX(0,Sensitivity!C47-Sensitivity!C46)+MAX(0,Sensitivity!D47-Sensitivity!D46)+MAX(0,Sensitivity!C48-Sensitivity!C47)+MAX(0,Sensitivity!D48-Sensitivity!D47)+MAX(0,Sensitivity!C49-Sensitivity!C48)+MAX(0,Sensitivity!D49-Sensitivity!D48)+MAX(0,Sensitivity!C50-Sensitivity!C49)+MAX(0,Sensitivity!D50-Sensitivity!D49)+MAX(0,Sensitivity!C51-Sensitivity!C50)+MAX(0,Sensitivity!D51-Sensitivity!D50)+MAX(0,Sensitivity!C52-Sensitivity!C51)+MAX(0,Sensitivity!D52-Sensitivity!D51)+MAX(0,Sensitivity!C53-Sensitivity!C52)+MAX(0,Sensitivity!D53-Sensitivity!D52)</f>
        <v>0</v>
      </c>
      <c r="D24" s="37">
        <v>1.0000000000000001E-9</v>
      </c>
      <c r="E24" t="str">
        <f t="shared" si="0"/>
        <v>OK</v>
      </c>
    </row>
    <row r="25" spans="2:5" x14ac:dyDescent="0.45">
      <c r="B25" t="s">
        <v>701</v>
      </c>
      <c r="C25" s="36">
        <f>MAX(0,Reconcile!D10-Reconcile!D9*D_maxShare)</f>
        <v>0</v>
      </c>
      <c r="D25" s="37">
        <v>0</v>
      </c>
      <c r="E25" t="str">
        <f t="shared" si="0"/>
        <v>OK</v>
      </c>
    </row>
    <row r="26" spans="2:5" x14ac:dyDescent="0.45">
      <c r="B26" t="s">
        <v>702</v>
      </c>
      <c r="C26" s="36">
        <f>COUNTA(SetCells)</f>
        <v>0</v>
      </c>
      <c r="D26" s="37">
        <v>0</v>
      </c>
      <c r="E26" t="str">
        <f t="shared" si="0"/>
        <v>OK</v>
      </c>
    </row>
    <row r="28" spans="2:5" x14ac:dyDescent="0.45">
      <c r="B28" s="3" t="s">
        <v>680</v>
      </c>
      <c r="C28" s="3" t="str">
        <f>IF(COUNTIF(E5:E26,"OK")=22,"All 22 checks OK",COUNTIF(E5:E26,"FAIL")&amp;" of 22 checks FAIL")</f>
        <v>All 22 checks OK</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115</vt:i4>
      </vt:variant>
    </vt:vector>
  </HeadingPairs>
  <TitlesOfParts>
    <vt:vector size="124" baseType="lpstr">
      <vt:lpstr>Cover</vt:lpstr>
      <vt:lpstr>Inputs</vt:lpstr>
      <vt:lpstr>History</vt:lpstr>
      <vt:lpstr>CallCost</vt:lpstr>
      <vt:lpstr>Model</vt:lpstr>
      <vt:lpstr>Engine</vt:lpstr>
      <vt:lpstr>Sensitivity</vt:lpstr>
      <vt:lpstr>Reconcile</vt:lpstr>
      <vt:lpstr>Checks</vt:lpstr>
      <vt:lpstr>AdoptBreak</vt:lpstr>
      <vt:lpstr>AdoptBreakLow</vt:lpstr>
      <vt:lpstr>ARPU</vt:lpstr>
      <vt:lpstr>ArpuDiff</vt:lpstr>
      <vt:lpstr>BudgetPerCaller</vt:lpstr>
      <vt:lpstr>BudgetPlan</vt:lpstr>
      <vt:lpstr>BudgetQ</vt:lpstr>
      <vt:lpstr>CallsInAllowance</vt:lpstr>
      <vt:lpstr>CapFlag</vt:lpstr>
      <vt:lpstr>CapLow</vt:lpstr>
      <vt:lpstr>CapMini</vt:lpstr>
      <vt:lpstr>CapPlanRaw</vt:lpstr>
      <vt:lpstr>CapStep</vt:lpstr>
      <vt:lpstr>CBreak</vt:lpstr>
      <vt:lpstr>CheckStatus</vt:lpstr>
      <vt:lpstr>CostPerCallerLow</vt:lpstr>
      <vt:lpstr>CtxShareFlag</vt:lpstr>
      <vt:lpstr>D_adoptMax</vt:lpstr>
      <vt:lpstr>D_adoptSuper</vt:lpstr>
      <vt:lpstr>D_c</vt:lpstr>
      <vt:lpstr>D_callsScale</vt:lpstr>
      <vt:lpstr>D_headroom</vt:lpstr>
      <vt:lpstr>D_L</vt:lpstr>
      <vt:lpstr>D_maxShare</vt:lpstr>
      <vt:lpstr>D_r</vt:lpstr>
      <vt:lpstr>D_realization</vt:lpstr>
      <vt:lpstr>D_s</vt:lpstr>
      <vt:lpstr>D_sysTok</vt:lpstr>
      <vt:lpstr>D_usage2025</vt:lpstr>
      <vt:lpstr>F_gmQ124</vt:lpstr>
      <vt:lpstr>F_gmQ125</vt:lpstr>
      <vt:lpstr>F_gmQ4</vt:lpstr>
      <vt:lpstr>F_paidQ1</vt:lpstr>
      <vt:lpstr>F_paidQ125</vt:lpstr>
      <vt:lpstr>F_paidQ2</vt:lpstr>
      <vt:lpstr>F_paidQ424</vt:lpstr>
      <vt:lpstr>F_rev</vt:lpstr>
      <vt:lpstr>F_revQ125</vt:lpstr>
      <vt:lpstr>F_subRev</vt:lpstr>
      <vt:lpstr>FlagKey</vt:lpstr>
      <vt:lpstr>GMb</vt:lpstr>
      <vt:lpstr>HeavyMin</vt:lpstr>
      <vt:lpstr>HistDiff</vt:lpstr>
      <vt:lpstr>HistKey</vt:lpstr>
      <vt:lpstr>IdxFlag</vt:lpstr>
      <vt:lpstr>IdxHist</vt:lpstr>
      <vt:lpstr>IdxMini</vt:lpstr>
      <vt:lpstr>J_adoptMax_hi</vt:lpstr>
      <vt:lpstr>J_adoptMax_lo</vt:lpstr>
      <vt:lpstr>J_adoptSuper_hi</vt:lpstr>
      <vt:lpstr>J_adoptSuper_lo</vt:lpstr>
      <vt:lpstr>J_c_hi</vt:lpstr>
      <vt:lpstr>J_c_lo</vt:lpstr>
      <vt:lpstr>J_callsScale_hi</vt:lpstr>
      <vt:lpstr>J_callsScale_lo</vt:lpstr>
      <vt:lpstr>J_headroom_hi</vt:lpstr>
      <vt:lpstr>J_headroom_lo</vt:lpstr>
      <vt:lpstr>J_L_hi</vt:lpstr>
      <vt:lpstr>J_L_lo</vt:lpstr>
      <vt:lpstr>J_maxShare_hi</vt:lpstr>
      <vt:lpstr>J_maxShare_lo</vt:lpstr>
      <vt:lpstr>J_r_hi</vt:lpstr>
      <vt:lpstr>J_r_lo</vt:lpstr>
      <vt:lpstr>J_realization_hi</vt:lpstr>
      <vt:lpstr>J_realization_lo</vt:lpstr>
      <vt:lpstr>J_s_hi</vt:lpstr>
      <vt:lpstr>J_s_lo</vt:lpstr>
      <vt:lpstr>J_sysTok_hi</vt:lpstr>
      <vt:lpstr>J_sysTok_lo</vt:lpstr>
      <vt:lpstr>J_usage2025_hi</vt:lpstr>
      <vt:lpstr>J_usage2025_lo</vt:lpstr>
      <vt:lpstr>ListAudioCached</vt:lpstr>
      <vt:lpstr>ListAudioIn</vt:lpstr>
      <vt:lpstr>ListAudioOut</vt:lpstr>
      <vt:lpstr>ListKeys</vt:lpstr>
      <vt:lpstr>ListTextCached</vt:lpstr>
      <vt:lpstr>ListTextIn</vt:lpstr>
      <vt:lpstr>MiniKey</vt:lpstr>
      <vt:lpstr>MinIn</vt:lpstr>
      <vt:lpstr>MinOut</vt:lpstr>
      <vt:lpstr>MixMini</vt:lpstr>
      <vt:lpstr>NoCap</vt:lpstr>
      <vt:lpstr>PaidAvg</vt:lpstr>
      <vt:lpstr>PIn</vt:lpstr>
      <vt:lpstr>PlanCap</vt:lpstr>
      <vt:lpstr>POut</vt:lpstr>
      <vt:lpstr>PriceGpFlag</vt:lpstr>
      <vt:lpstr>PriceGpMini</vt:lpstr>
      <vt:lpstr>PriceHoldFlag</vt:lpstr>
      <vt:lpstr>PriceHoldMini</vt:lpstr>
      <vt:lpstr>RealizationMini</vt:lpstr>
      <vt:lpstr>Rev</vt:lpstr>
      <vt:lpstr>S_adoptSuper_base</vt:lpstr>
      <vt:lpstr>S_adoptSuper_bear</vt:lpstr>
      <vt:lpstr>S_adoptSuper_bull</vt:lpstr>
      <vt:lpstr>S_c_base</vt:lpstr>
      <vt:lpstr>S_c_bear</vt:lpstr>
      <vt:lpstr>S_c_bull</vt:lpstr>
      <vt:lpstr>S_callsScale_base</vt:lpstr>
      <vt:lpstr>S_callsScale_bear</vt:lpstr>
      <vt:lpstr>S_callsScale_bull</vt:lpstr>
      <vt:lpstr>SetCells</vt:lpstr>
      <vt:lpstr>SuperRevQ</vt:lpstr>
      <vt:lpstr>T_calls1</vt:lpstr>
      <vt:lpstr>T_calls2</vt:lpstr>
      <vt:lpstr>T_calls3</vt:lpstr>
      <vt:lpstr>T_share1</vt:lpstr>
      <vt:lpstr>T_share2</vt:lpstr>
      <vt:lpstr>T_share3</vt:lpstr>
      <vt:lpstr>Target</vt:lpstr>
      <vt:lpstr>TargetM</vt:lpstr>
      <vt:lpstr>TokIn</vt:lpstr>
      <vt:lpstr>TokOut</vt:lpstr>
      <vt:lpstr>Top1Idx</vt:lpstr>
      <vt:lpstr>Top2Idx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2026-10-24T08:48:25Z</dcterms:created>
  <dcterms:modified xsi:type="dcterms:W3CDTF">2026-10-24T08:49:14Z</dcterms:modified>
</cp:coreProperties>
</file>