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xr:revisionPtr revIDLastSave="0" documentId="13_ncr:1_{23CB6EF6-FEE9-4E36-A9B1-40CB76577930}" xr6:coauthVersionLast="47" xr6:coauthVersionMax="47" xr10:uidLastSave="{00000000-0000-0000-0000-000000000000}"/>
  <bookViews>
    <workbookView xWindow="1837" yWindow="1837" windowWidth="21600" windowHeight="11333" xr2:uid="{00000000-000D-0000-FFFF-FFFF00000000}"/>
  </bookViews>
  <sheets>
    <sheet name="Cover" sheetId="1" r:id="rId1"/>
    <sheet name="Sources" sheetId="2" r:id="rId2"/>
    <sheet name="Inputs" sheetId="3" r:id="rId3"/>
    <sheet name="Tradeoffs" sheetId="4" r:id="rId4"/>
    <sheet name="Sensitivity" sheetId="5" r:id="rId5"/>
    <sheet name="Hires" sheetId="6" r:id="rId6"/>
    <sheet name="Headcount" sheetId="7" r:id="rId7"/>
    <sheet name="Sales_Capacity" sheetId="8" r:id="rId8"/>
    <sheet name="Roadmap" sheetId="9" r:id="rId9"/>
    <sheet name="ARR" sheetId="10" r:id="rId10"/>
    <sheet name="Comp" sheetId="11" r:id="rId11"/>
    <sheet name="Opex" sheetId="12" r:id="rId12"/>
    <sheet name="PnL" sheetId="13" r:id="rId13"/>
    <sheet name="Targets" sheetId="14" r:id="rId14"/>
    <sheet name="Checks" sheetId="15" r:id="rId15"/>
  </sheets>
  <definedNames>
    <definedName name="CaseSel">Tradeoffs!$C$4</definedName>
    <definedName name="CheckStatus">Checks!$C$45</definedName>
    <definedName name="in_aePull">Inputs!$C$38</definedName>
    <definedName name="in_arr0">Inputs!$C$25</definedName>
    <definedName name="in_attainment">Inputs!$C$27</definedName>
    <definedName name="in_attrition">Inputs!$C$33</definedName>
    <definedName name="in_backfillLag">Inputs!$C$34</definedName>
    <definedName name="in_churn">Inputs!$C$29</definedName>
    <definedName name="in_commissionRate">Inputs!$C$24</definedName>
    <definedName name="in_delay">Inputs!$C$35</definedName>
    <definedName name="in_equipPerHire">Inputs!$C$11</definedName>
    <definedName name="in_escalation">Inputs!$C$5</definedName>
    <definedName name="in_expansion">Inputs!$C$30</definedName>
    <definedName name="in_gaOtherPerMonth">Inputs!$C$22</definedName>
    <definedName name="in_hostingPct">Inputs!$C$23</definedName>
    <definedName name="in_load">Inputs!$C$8</definedName>
    <definedName name="in_merit">Inputs!$C$6</definedName>
    <definedName name="in_meritMonth">Inputs!$C$7</definedName>
    <definedName name="in_moduleArrPerMonth">Inputs!$C$32</definedName>
    <definedName name="in_moduleEngMonths">Inputs!$C$31</definedName>
    <definedName name="in_payMult">Inputs!$C$10</definedName>
    <definedName name="in_programsMult">Inputs!$C$21</definedName>
    <definedName name="in_programsPerMonth">Inputs!$C$20</definedName>
    <definedName name="in_quota">Inputs!$C$26</definedName>
    <definedName name="in_rampMonths">Inputs!$C$28</definedName>
    <definedName name="in_rdDelayMonths">Inputs!$C$37</definedName>
    <definedName name="in_rdDelayShare">Inputs!$C$36</definedName>
    <definedName name="in_recruitPerHire">Inputs!$C$13</definedName>
    <definedName name="in_rentPerMonth">Inputs!$C$14</definedName>
    <definedName name="in_sbcRate">Inputs!$C$9</definedName>
    <definedName name="in_softwarePerHead">Inputs!$C$12</definedName>
    <definedName name="in_te_cs">Inputs!$C$18</definedName>
    <definedName name="in_te_ga">Inputs!$C$19</definedName>
    <definedName name="in_te_mkt">Inputs!$C$17</definedName>
    <definedName name="in_te_rd">Inputs!$C$15</definedName>
    <definedName name="in_te_sales">Inputs!$C$16</definedName>
    <definedName name="Lag">Inputs!$E$42</definedName>
    <definedName name="Launch">Roadmap!$E$10</definedName>
    <definedName name="mAttr">Inputs!$E$41</definedName>
    <definedName name="out_arrExit">ARR!$Q$12</definedName>
    <definedName name="out_cor">PnL!$Q$7</definedName>
    <definedName name="out_ga">PnL!$Q$13</definedName>
    <definedName name="out_gp">PnL!$Q$8</definedName>
    <definedName name="out_hcExit">PnL!$Q$28</definedName>
    <definedName name="out_mkt">PnL!$Q$11</definedName>
    <definedName name="out_newArr">ARR!$Q$7</definedName>
    <definedName name="out_oi">PnL!$Q$15</definedName>
    <definedName name="out_oing">PnL!$Q$17</definedName>
    <definedName name="out_opex">PnL!$Q$14</definedName>
    <definedName name="out_rd">PnL!$Q$9</definedName>
    <definedName name="out_rev">PnL!$Q$6</definedName>
    <definedName name="out_sales">PnL!$Q$10</definedName>
    <definedName name="out_sbc">PnL!$Q$16</definedName>
    <definedName name="out_sm">PnL!$Q$12</definedName>
    <definedName name="Sens_attainment">Sensitivity!$C$7</definedName>
    <definedName name="Sens_expansion">Sensitivity!$C$8</definedName>
    <definedName name="Sens_payMult">Sensitivity!$C$6</definedName>
    <definedName name="TornPick">Sensitivity!$C$4</definedName>
    <definedName name="TornSide">Sensitivity!$C$5</definedName>
    <definedName name="x_aePull">Inputs!$E$38</definedName>
    <definedName name="x_arr0">Inputs!$E$25</definedName>
    <definedName name="x_attainment">Inputs!$E$27</definedName>
    <definedName name="x_attrition">Inputs!$E$33</definedName>
    <definedName name="x_backfillLag">Inputs!$E$34</definedName>
    <definedName name="x_churn">Inputs!$E$29</definedName>
    <definedName name="x_commissionRate">Inputs!$E$24</definedName>
    <definedName name="x_delay">Inputs!$E$35</definedName>
    <definedName name="x_equipPerHire">Inputs!$E$11</definedName>
    <definedName name="x_escalation">Inputs!$E$5</definedName>
    <definedName name="x_expansion">Inputs!$E$30</definedName>
    <definedName name="x_gaOtherPerMonth">Inputs!$E$22</definedName>
    <definedName name="x_hostingPct">Inputs!$E$23</definedName>
    <definedName name="x_load">Inputs!$E$8</definedName>
    <definedName name="x_merit">Inputs!$E$6</definedName>
    <definedName name="x_meritMonth">Inputs!$E$7</definedName>
    <definedName name="x_moduleArrPerMonth">Inputs!$E$32</definedName>
    <definedName name="x_moduleEngMonths">Inputs!$E$31</definedName>
    <definedName name="x_payMult">Inputs!$E$10</definedName>
    <definedName name="x_programsMult">Inputs!$E$21</definedName>
    <definedName name="x_programsPerMonth">Inputs!$E$20</definedName>
    <definedName name="x_quota">Inputs!$E$26</definedName>
    <definedName name="x_rampMonths">Inputs!$E$28</definedName>
    <definedName name="x_rdDelayMonths">Inputs!$E$37</definedName>
    <definedName name="x_rdDelayShare">Inputs!$E$36</definedName>
    <definedName name="x_recruitPerHire">Inputs!$E$13</definedName>
    <definedName name="x_rentPerMonth">Inputs!$E$14</definedName>
    <definedName name="x_sbcRate">Inputs!$E$9</definedName>
    <definedName name="x_softwarePerHead">Inputs!$E$12</definedName>
    <definedName name="x_te_cs">Inputs!$E$18</definedName>
    <definedName name="x_te_ga">Inputs!$E$19</definedName>
    <definedName name="x_te_mkt">Inputs!$E$17</definedName>
    <definedName name="x_te_rd">Inputs!$E$15</definedName>
    <definedName name="x_te_sales">Inputs!$E$16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" i="9" l="1"/>
  <c r="E8" i="9" s="1"/>
  <c r="O18" i="8"/>
  <c r="N18" i="8"/>
  <c r="M18" i="8"/>
  <c r="L18" i="8"/>
  <c r="K18" i="8"/>
  <c r="J18" i="8"/>
  <c r="I18" i="8"/>
  <c r="H18" i="8"/>
  <c r="G18" i="8"/>
  <c r="F18" i="8"/>
  <c r="E18" i="8"/>
  <c r="N17" i="8"/>
  <c r="M17" i="8"/>
  <c r="L17" i="8"/>
  <c r="K17" i="8"/>
  <c r="J17" i="8"/>
  <c r="I17" i="8"/>
  <c r="H17" i="8"/>
  <c r="G17" i="8"/>
  <c r="F17" i="8"/>
  <c r="E17" i="8"/>
  <c r="M16" i="8"/>
  <c r="L16" i="8"/>
  <c r="K16" i="8"/>
  <c r="J16" i="8"/>
  <c r="I16" i="8"/>
  <c r="H16" i="8"/>
  <c r="G16" i="8"/>
  <c r="F16" i="8"/>
  <c r="E16" i="8"/>
  <c r="L15" i="8"/>
  <c r="K15" i="8"/>
  <c r="J15" i="8"/>
  <c r="I15" i="8"/>
  <c r="H15" i="8"/>
  <c r="G15" i="8"/>
  <c r="F15" i="8"/>
  <c r="E15" i="8"/>
  <c r="K14" i="8"/>
  <c r="J14" i="8"/>
  <c r="I14" i="8"/>
  <c r="H14" i="8"/>
  <c r="G14" i="8"/>
  <c r="F14" i="8"/>
  <c r="E14" i="8"/>
  <c r="J13" i="8"/>
  <c r="I13" i="8"/>
  <c r="H13" i="8"/>
  <c r="G13" i="8"/>
  <c r="F13" i="8"/>
  <c r="E13" i="8"/>
  <c r="I12" i="8"/>
  <c r="H12" i="8"/>
  <c r="G12" i="8"/>
  <c r="F12" i="8"/>
  <c r="E12" i="8"/>
  <c r="H11" i="8"/>
  <c r="G11" i="8"/>
  <c r="F11" i="8"/>
  <c r="E11" i="8"/>
  <c r="G10" i="8"/>
  <c r="F10" i="8"/>
  <c r="E10" i="8"/>
  <c r="F9" i="8"/>
  <c r="E9" i="8"/>
  <c r="E8" i="8"/>
  <c r="E147" i="7"/>
  <c r="Q147" i="7" s="1"/>
  <c r="E137" i="7"/>
  <c r="E127" i="7"/>
  <c r="Q127" i="7" s="1"/>
  <c r="E117" i="7"/>
  <c r="Q117" i="7" s="1"/>
  <c r="E107" i="7"/>
  <c r="E97" i="7"/>
  <c r="E87" i="7"/>
  <c r="Q87" i="7" s="1"/>
  <c r="E77" i="7"/>
  <c r="Q77" i="7" s="1"/>
  <c r="E67" i="7"/>
  <c r="E57" i="7"/>
  <c r="E47" i="7"/>
  <c r="Q47" i="7" s="1"/>
  <c r="E37" i="7"/>
  <c r="E27" i="7"/>
  <c r="E17" i="7"/>
  <c r="Q17" i="7" s="1"/>
  <c r="E7" i="7"/>
  <c r="Q7" i="7" s="1"/>
  <c r="P105" i="6"/>
  <c r="O105" i="6"/>
  <c r="N105" i="6"/>
  <c r="M105" i="6"/>
  <c r="L105" i="6"/>
  <c r="K105" i="6"/>
  <c r="J105" i="6"/>
  <c r="I105" i="6"/>
  <c r="H105" i="6"/>
  <c r="G105" i="6"/>
  <c r="F105" i="6"/>
  <c r="E105" i="6"/>
  <c r="P98" i="6"/>
  <c r="O98" i="6"/>
  <c r="N98" i="6"/>
  <c r="M98" i="6"/>
  <c r="L98" i="6"/>
  <c r="K98" i="6"/>
  <c r="J98" i="6"/>
  <c r="I98" i="6"/>
  <c r="H98" i="6"/>
  <c r="G98" i="6"/>
  <c r="F98" i="6"/>
  <c r="E98" i="6"/>
  <c r="P91" i="6"/>
  <c r="O91" i="6"/>
  <c r="N91" i="6"/>
  <c r="M91" i="6"/>
  <c r="L91" i="6"/>
  <c r="K91" i="6"/>
  <c r="J91" i="6"/>
  <c r="I91" i="6"/>
  <c r="H91" i="6"/>
  <c r="G91" i="6"/>
  <c r="F91" i="6"/>
  <c r="E91" i="6"/>
  <c r="P84" i="6"/>
  <c r="O84" i="6"/>
  <c r="N84" i="6"/>
  <c r="M84" i="6"/>
  <c r="L84" i="6"/>
  <c r="K84" i="6"/>
  <c r="J84" i="6"/>
  <c r="I84" i="6"/>
  <c r="H84" i="6"/>
  <c r="G84" i="6"/>
  <c r="F84" i="6"/>
  <c r="E84" i="6"/>
  <c r="P77" i="6"/>
  <c r="O77" i="6"/>
  <c r="N77" i="6"/>
  <c r="M77" i="6"/>
  <c r="L77" i="6"/>
  <c r="K77" i="6"/>
  <c r="J77" i="6"/>
  <c r="I77" i="6"/>
  <c r="H77" i="6"/>
  <c r="G77" i="6"/>
  <c r="F77" i="6"/>
  <c r="E77" i="6"/>
  <c r="P70" i="6"/>
  <c r="O70" i="6"/>
  <c r="N70" i="6"/>
  <c r="M70" i="6"/>
  <c r="L70" i="6"/>
  <c r="K70" i="6"/>
  <c r="J70" i="6"/>
  <c r="I70" i="6"/>
  <c r="H70" i="6"/>
  <c r="G70" i="6"/>
  <c r="F70" i="6"/>
  <c r="E70" i="6"/>
  <c r="P63" i="6"/>
  <c r="O63" i="6"/>
  <c r="N63" i="6"/>
  <c r="M63" i="6"/>
  <c r="L63" i="6"/>
  <c r="K63" i="6"/>
  <c r="J63" i="6"/>
  <c r="I63" i="6"/>
  <c r="H63" i="6"/>
  <c r="G63" i="6"/>
  <c r="F63" i="6"/>
  <c r="E63" i="6"/>
  <c r="P56" i="6"/>
  <c r="O56" i="6"/>
  <c r="N56" i="6"/>
  <c r="M56" i="6"/>
  <c r="L56" i="6"/>
  <c r="K56" i="6"/>
  <c r="J56" i="6"/>
  <c r="I56" i="6"/>
  <c r="H56" i="6"/>
  <c r="G56" i="6"/>
  <c r="F56" i="6"/>
  <c r="E56" i="6"/>
  <c r="P49" i="6"/>
  <c r="O49" i="6"/>
  <c r="N49" i="6"/>
  <c r="M49" i="6"/>
  <c r="L49" i="6"/>
  <c r="K49" i="6"/>
  <c r="J49" i="6"/>
  <c r="I49" i="6"/>
  <c r="H49" i="6"/>
  <c r="G49" i="6"/>
  <c r="F49" i="6"/>
  <c r="E49" i="6"/>
  <c r="P42" i="6"/>
  <c r="O42" i="6"/>
  <c r="N42" i="6"/>
  <c r="M42" i="6"/>
  <c r="L42" i="6"/>
  <c r="K42" i="6"/>
  <c r="J42" i="6"/>
  <c r="I42" i="6"/>
  <c r="H42" i="6"/>
  <c r="G42" i="6"/>
  <c r="F42" i="6"/>
  <c r="E42" i="6"/>
  <c r="P35" i="6"/>
  <c r="O35" i="6"/>
  <c r="N35" i="6"/>
  <c r="M35" i="6"/>
  <c r="L35" i="6"/>
  <c r="K35" i="6"/>
  <c r="J35" i="6"/>
  <c r="I35" i="6"/>
  <c r="H35" i="6"/>
  <c r="G35" i="6"/>
  <c r="F35" i="6"/>
  <c r="E35" i="6"/>
  <c r="P28" i="6"/>
  <c r="O28" i="6"/>
  <c r="N28" i="6"/>
  <c r="M28" i="6"/>
  <c r="L28" i="6"/>
  <c r="K28" i="6"/>
  <c r="J28" i="6"/>
  <c r="I28" i="6"/>
  <c r="H28" i="6"/>
  <c r="G28" i="6"/>
  <c r="F28" i="6"/>
  <c r="E28" i="6"/>
  <c r="P21" i="6"/>
  <c r="O21" i="6"/>
  <c r="N21" i="6"/>
  <c r="M21" i="6"/>
  <c r="L21" i="6"/>
  <c r="K21" i="6"/>
  <c r="J21" i="6"/>
  <c r="I21" i="6"/>
  <c r="H21" i="6"/>
  <c r="G21" i="6"/>
  <c r="F21" i="6"/>
  <c r="E21" i="6"/>
  <c r="P14" i="6"/>
  <c r="O14" i="6"/>
  <c r="N14" i="6"/>
  <c r="M14" i="6"/>
  <c r="L14" i="6"/>
  <c r="K14" i="6"/>
  <c r="J14" i="6"/>
  <c r="I14" i="6"/>
  <c r="H14" i="6"/>
  <c r="G14" i="6"/>
  <c r="F14" i="6"/>
  <c r="E14" i="6"/>
  <c r="P7" i="6"/>
  <c r="O7" i="6"/>
  <c r="N7" i="6"/>
  <c r="M7" i="6"/>
  <c r="L7" i="6"/>
  <c r="K7" i="6"/>
  <c r="J7" i="6"/>
  <c r="I7" i="6"/>
  <c r="H7" i="6"/>
  <c r="G7" i="6"/>
  <c r="F7" i="6"/>
  <c r="E7" i="6"/>
  <c r="J34" i="4"/>
  <c r="I34" i="4"/>
  <c r="H34" i="4"/>
  <c r="G34" i="4"/>
  <c r="F34" i="4"/>
  <c r="E34" i="4"/>
  <c r="D34" i="4"/>
  <c r="C34" i="4"/>
  <c r="J33" i="4"/>
  <c r="I33" i="4"/>
  <c r="H33" i="4"/>
  <c r="G33" i="4"/>
  <c r="F33" i="4"/>
  <c r="E33" i="4"/>
  <c r="D33" i="4"/>
  <c r="C33" i="4"/>
  <c r="J32" i="4"/>
  <c r="I32" i="4"/>
  <c r="H32" i="4"/>
  <c r="G32" i="4"/>
  <c r="F32" i="4"/>
  <c r="E32" i="4"/>
  <c r="D32" i="4"/>
  <c r="C32" i="4"/>
  <c r="J31" i="4"/>
  <c r="I31" i="4"/>
  <c r="H31" i="4"/>
  <c r="G31" i="4"/>
  <c r="F31" i="4"/>
  <c r="E31" i="4"/>
  <c r="D31" i="4"/>
  <c r="C31" i="4"/>
  <c r="J30" i="4"/>
  <c r="I30" i="4"/>
  <c r="H30" i="4"/>
  <c r="G30" i="4"/>
  <c r="F30" i="4"/>
  <c r="E30" i="4"/>
  <c r="D30" i="4"/>
  <c r="C30" i="4"/>
  <c r="W63" i="3"/>
  <c r="V63" i="3"/>
  <c r="U63" i="3"/>
  <c r="T63" i="3"/>
  <c r="S63" i="3"/>
  <c r="R63" i="3"/>
  <c r="Q63" i="3"/>
  <c r="P63" i="3"/>
  <c r="O63" i="3"/>
  <c r="N63" i="3"/>
  <c r="M63" i="3"/>
  <c r="L63" i="3"/>
  <c r="K63" i="3"/>
  <c r="X62" i="3"/>
  <c r="I62" i="3"/>
  <c r="X61" i="3"/>
  <c r="I61" i="3"/>
  <c r="X60" i="3"/>
  <c r="I60" i="3"/>
  <c r="X59" i="3"/>
  <c r="I59" i="3"/>
  <c r="X58" i="3"/>
  <c r="I58" i="3"/>
  <c r="X57" i="3"/>
  <c r="I57" i="3"/>
  <c r="X56" i="3"/>
  <c r="I56" i="3"/>
  <c r="X55" i="3"/>
  <c r="I55" i="3"/>
  <c r="X54" i="3"/>
  <c r="I54" i="3"/>
  <c r="X53" i="3"/>
  <c r="I53" i="3"/>
  <c r="X52" i="3"/>
  <c r="I52" i="3"/>
  <c r="X51" i="3"/>
  <c r="I51" i="3"/>
  <c r="X50" i="3"/>
  <c r="I50" i="3"/>
  <c r="X49" i="3"/>
  <c r="I49" i="3"/>
  <c r="X48" i="3"/>
  <c r="I48" i="3"/>
  <c r="E38" i="3"/>
  <c r="E37" i="3"/>
  <c r="E36" i="3"/>
  <c r="E35" i="3"/>
  <c r="H85" i="6" s="1"/>
  <c r="E34" i="3"/>
  <c r="E42" i="3" s="1"/>
  <c r="E33" i="3"/>
  <c r="E41" i="3" s="1"/>
  <c r="E32" i="3"/>
  <c r="E31" i="3"/>
  <c r="E30" i="3"/>
  <c r="E29" i="3"/>
  <c r="E28" i="3"/>
  <c r="E27" i="3"/>
  <c r="B75" i="5" s="1"/>
  <c r="E26" i="3"/>
  <c r="E25" i="3"/>
  <c r="E6" i="10" s="1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C8" i="3"/>
  <c r="E8" i="3" s="1"/>
  <c r="E7" i="3"/>
  <c r="C6" i="3"/>
  <c r="E6" i="3" s="1"/>
  <c r="C5" i="3"/>
  <c r="E5" i="3" s="1"/>
  <c r="T48" i="2"/>
  <c r="S48" i="2"/>
  <c r="R48" i="2"/>
  <c r="Q48" i="2"/>
  <c r="P48" i="2"/>
  <c r="O48" i="2"/>
  <c r="N48" i="2"/>
  <c r="T47" i="2"/>
  <c r="S47" i="2"/>
  <c r="R47" i="2"/>
  <c r="Q47" i="2"/>
  <c r="P47" i="2"/>
  <c r="O47" i="2"/>
  <c r="N47" i="2"/>
  <c r="T46" i="2"/>
  <c r="S46" i="2"/>
  <c r="R46" i="2"/>
  <c r="Q46" i="2"/>
  <c r="P46" i="2"/>
  <c r="O46" i="2"/>
  <c r="N46" i="2"/>
  <c r="T45" i="2"/>
  <c r="S45" i="2"/>
  <c r="R45" i="2"/>
  <c r="Q45" i="2"/>
  <c r="P45" i="2"/>
  <c r="O45" i="2"/>
  <c r="N45" i="2"/>
  <c r="T44" i="2"/>
  <c r="S44" i="2"/>
  <c r="R44" i="2"/>
  <c r="Q44" i="2"/>
  <c r="P44" i="2"/>
  <c r="O44" i="2"/>
  <c r="N44" i="2"/>
  <c r="T43" i="2"/>
  <c r="S43" i="2"/>
  <c r="R43" i="2"/>
  <c r="Q43" i="2"/>
  <c r="P43" i="2"/>
  <c r="O43" i="2"/>
  <c r="N43" i="2"/>
  <c r="T42" i="2"/>
  <c r="S42" i="2"/>
  <c r="R42" i="2"/>
  <c r="Q42" i="2"/>
  <c r="P42" i="2"/>
  <c r="O42" i="2"/>
  <c r="N42" i="2"/>
  <c r="T41" i="2"/>
  <c r="S41" i="2"/>
  <c r="R41" i="2"/>
  <c r="Q41" i="2"/>
  <c r="P41" i="2"/>
  <c r="O41" i="2"/>
  <c r="N41" i="2"/>
  <c r="T40" i="2"/>
  <c r="S40" i="2"/>
  <c r="R40" i="2"/>
  <c r="Q40" i="2"/>
  <c r="P40" i="2"/>
  <c r="O40" i="2"/>
  <c r="N40" i="2"/>
  <c r="Q49" i="6" l="1"/>
  <c r="Q49" i="2"/>
  <c r="Q70" i="6"/>
  <c r="H71" i="6"/>
  <c r="H33" i="8"/>
  <c r="I28" i="8"/>
  <c r="I33" i="8"/>
  <c r="G33" i="8"/>
  <c r="F33" i="8"/>
  <c r="G29" i="8"/>
  <c r="O34" i="8"/>
  <c r="Q105" i="6"/>
  <c r="Q21" i="6"/>
  <c r="L33" i="8"/>
  <c r="Q77" i="6"/>
  <c r="S49" i="2"/>
  <c r="R49" i="2"/>
  <c r="E11" i="7"/>
  <c r="E14" i="7" s="1"/>
  <c r="Q56" i="6"/>
  <c r="F115" i="11"/>
  <c r="Q35" i="6"/>
  <c r="J62" i="3"/>
  <c r="E61" i="5"/>
  <c r="M33" i="8"/>
  <c r="K16" i="11"/>
  <c r="J48" i="3"/>
  <c r="J33" i="8"/>
  <c r="J29" i="8"/>
  <c r="F39" i="7"/>
  <c r="K30" i="8"/>
  <c r="I29" i="8"/>
  <c r="F61" i="5"/>
  <c r="H29" i="8"/>
  <c r="K33" i="8"/>
  <c r="N33" i="8"/>
  <c r="K22" i="6"/>
  <c r="F89" i="7"/>
  <c r="K71" i="6"/>
  <c r="K8" i="6"/>
  <c r="E89" i="7"/>
  <c r="P71" i="6"/>
  <c r="M8" i="6"/>
  <c r="H61" i="5"/>
  <c r="E43" i="6"/>
  <c r="N8" i="6"/>
  <c r="G89" i="7"/>
  <c r="J55" i="3"/>
  <c r="E106" i="11"/>
  <c r="B63" i="5"/>
  <c r="F6" i="8"/>
  <c r="F22" i="8" s="1"/>
  <c r="L8" i="6"/>
  <c r="F129" i="7"/>
  <c r="B64" i="5"/>
  <c r="B65" i="5"/>
  <c r="F43" i="6"/>
  <c r="B66" i="5"/>
  <c r="O8" i="6"/>
  <c r="B67" i="5"/>
  <c r="O100" i="6"/>
  <c r="I85" i="6"/>
  <c r="E71" i="6"/>
  <c r="F71" i="6"/>
  <c r="G71" i="6"/>
  <c r="D61" i="5"/>
  <c r="I30" i="8"/>
  <c r="G61" i="5"/>
  <c r="E24" i="8"/>
  <c r="L31" i="8"/>
  <c r="H28" i="8"/>
  <c r="L32" i="8"/>
  <c r="M32" i="8"/>
  <c r="K31" i="8"/>
  <c r="E33" i="8"/>
  <c r="I32" i="8"/>
  <c r="G6" i="8"/>
  <c r="G22" i="8" s="1"/>
  <c r="F25" i="8"/>
  <c r="N37" i="6"/>
  <c r="F92" i="6"/>
  <c r="G39" i="7"/>
  <c r="F26" i="8"/>
  <c r="G92" i="6"/>
  <c r="J50" i="3"/>
  <c r="E50" i="6"/>
  <c r="L78" i="6"/>
  <c r="E28" i="8"/>
  <c r="P25" i="11"/>
  <c r="F15" i="6"/>
  <c r="G15" i="6"/>
  <c r="B76" i="5"/>
  <c r="I15" i="6"/>
  <c r="G26" i="8"/>
  <c r="N15" i="6"/>
  <c r="P64" i="6"/>
  <c r="E78" i="6"/>
  <c r="P15" i="6"/>
  <c r="G50" i="6"/>
  <c r="J52" i="11"/>
  <c r="P29" i="6"/>
  <c r="F28" i="8"/>
  <c r="N72" i="6"/>
  <c r="H15" i="6"/>
  <c r="E92" i="6"/>
  <c r="H92" i="6"/>
  <c r="K78" i="6"/>
  <c r="H50" i="6"/>
  <c r="G28" i="8"/>
  <c r="E115" i="11"/>
  <c r="J30" i="8"/>
  <c r="E29" i="6"/>
  <c r="E26" i="8"/>
  <c r="J15" i="6"/>
  <c r="G32" i="8"/>
  <c r="F78" i="6"/>
  <c r="J78" i="6"/>
  <c r="I92" i="6"/>
  <c r="I50" i="6"/>
  <c r="I58" i="6"/>
  <c r="G44" i="6"/>
  <c r="K58" i="6"/>
  <c r="H36" i="6"/>
  <c r="J36" i="6"/>
  <c r="L58" i="6"/>
  <c r="O37" i="6"/>
  <c r="I72" i="6"/>
  <c r="F30" i="6"/>
  <c r="J72" i="6"/>
  <c r="P107" i="6"/>
  <c r="G36" i="6"/>
  <c r="J107" i="6"/>
  <c r="P79" i="6"/>
  <c r="N107" i="6"/>
  <c r="E30" i="6"/>
  <c r="L72" i="6"/>
  <c r="L79" i="6"/>
  <c r="M72" i="6"/>
  <c r="F44" i="6"/>
  <c r="J58" i="6"/>
  <c r="F36" i="6"/>
  <c r="H79" i="6"/>
  <c r="G37" i="6"/>
  <c r="H37" i="6"/>
  <c r="I37" i="6"/>
  <c r="I79" i="6"/>
  <c r="K72" i="6"/>
  <c r="J30" i="6"/>
  <c r="G65" i="6"/>
  <c r="J37" i="6"/>
  <c r="O107" i="6"/>
  <c r="E16" i="6"/>
  <c r="H16" i="6"/>
  <c r="L107" i="6"/>
  <c r="G30" i="6"/>
  <c r="G16" i="6"/>
  <c r="K107" i="6"/>
  <c r="E51" i="6"/>
  <c r="F65" i="6"/>
  <c r="J65" i="6"/>
  <c r="E22" i="6"/>
  <c r="L43" i="6"/>
  <c r="K65" i="6"/>
  <c r="J85" i="6"/>
  <c r="J16" i="6"/>
  <c r="M107" i="6"/>
  <c r="M9" i="6"/>
  <c r="E65" i="6"/>
  <c r="F22" i="6"/>
  <c r="M43" i="6"/>
  <c r="K85" i="6"/>
  <c r="M37" i="6"/>
  <c r="H30" i="6"/>
  <c r="O72" i="6"/>
  <c r="H65" i="6"/>
  <c r="I65" i="6"/>
  <c r="G22" i="6"/>
  <c r="N43" i="6"/>
  <c r="L85" i="6"/>
  <c r="F16" i="6"/>
  <c r="K30" i="6"/>
  <c r="H22" i="6"/>
  <c r="O43" i="6"/>
  <c r="M85" i="6"/>
  <c r="M58" i="6"/>
  <c r="N58" i="6"/>
  <c r="I16" i="6"/>
  <c r="H72" i="6"/>
  <c r="N9" i="6"/>
  <c r="F107" i="6"/>
  <c r="I22" i="6"/>
  <c r="P43" i="6"/>
  <c r="N85" i="6"/>
  <c r="O58" i="6"/>
  <c r="O79" i="6"/>
  <c r="K9" i="6"/>
  <c r="I30" i="6"/>
  <c r="J22" i="6"/>
  <c r="E44" i="6"/>
  <c r="O85" i="6"/>
  <c r="N34" i="11"/>
  <c r="L34" i="11"/>
  <c r="J34" i="11"/>
  <c r="G34" i="11"/>
  <c r="P34" i="11"/>
  <c r="O34" i="11"/>
  <c r="K34" i="11"/>
  <c r="I34" i="11"/>
  <c r="H34" i="11"/>
  <c r="F34" i="11"/>
  <c r="E34" i="11"/>
  <c r="M34" i="11"/>
  <c r="Q91" i="6"/>
  <c r="J51" i="3"/>
  <c r="Q42" i="6"/>
  <c r="E39" i="7"/>
  <c r="E129" i="7"/>
  <c r="Q63" i="6"/>
  <c r="E111" i="7"/>
  <c r="H109" i="7" s="1"/>
  <c r="Q107" i="7"/>
  <c r="X63" i="3"/>
  <c r="P43" i="11"/>
  <c r="M43" i="11"/>
  <c r="E43" i="11"/>
  <c r="K43" i="11"/>
  <c r="J43" i="11"/>
  <c r="I43" i="11"/>
  <c r="H43" i="11"/>
  <c r="G43" i="11"/>
  <c r="F43" i="11"/>
  <c r="L43" i="11"/>
  <c r="O43" i="11"/>
  <c r="N43" i="11"/>
  <c r="Q137" i="7"/>
  <c r="E141" i="7"/>
  <c r="H139" i="7" s="1"/>
  <c r="O35" i="12"/>
  <c r="M35" i="12"/>
  <c r="I35" i="12"/>
  <c r="G35" i="12"/>
  <c r="P35" i="12"/>
  <c r="N35" i="12"/>
  <c r="K35" i="12"/>
  <c r="L35" i="12"/>
  <c r="J35" i="12"/>
  <c r="E35" i="12"/>
  <c r="H35" i="12"/>
  <c r="F35" i="12"/>
  <c r="L79" i="11"/>
  <c r="J79" i="11"/>
  <c r="H79" i="11"/>
  <c r="E79" i="11"/>
  <c r="F79" i="11"/>
  <c r="P79" i="11"/>
  <c r="O79" i="11"/>
  <c r="N79" i="11"/>
  <c r="M79" i="11"/>
  <c r="K79" i="11"/>
  <c r="I79" i="11"/>
  <c r="J56" i="3"/>
  <c r="G79" i="11"/>
  <c r="Q97" i="7"/>
  <c r="E101" i="7"/>
  <c r="T49" i="2"/>
  <c r="P133" i="11"/>
  <c r="N133" i="11"/>
  <c r="L133" i="11"/>
  <c r="I133" i="11"/>
  <c r="O133" i="11"/>
  <c r="M133" i="11"/>
  <c r="K133" i="11"/>
  <c r="J133" i="11"/>
  <c r="H133" i="11"/>
  <c r="G133" i="11"/>
  <c r="E133" i="11"/>
  <c r="F133" i="11"/>
  <c r="G70" i="5"/>
  <c r="H70" i="5"/>
  <c r="E8" i="10"/>
  <c r="E70" i="5"/>
  <c r="D70" i="5"/>
  <c r="F70" i="11"/>
  <c r="O70" i="11"/>
  <c r="M70" i="11"/>
  <c r="L70" i="11"/>
  <c r="K70" i="11"/>
  <c r="J70" i="11"/>
  <c r="I70" i="11"/>
  <c r="H70" i="11"/>
  <c r="P70" i="11"/>
  <c r="N70" i="11"/>
  <c r="G70" i="11"/>
  <c r="E70" i="11"/>
  <c r="F70" i="5"/>
  <c r="J52" i="3"/>
  <c r="Q28" i="6"/>
  <c r="F109" i="7"/>
  <c r="F69" i="7"/>
  <c r="F29" i="7"/>
  <c r="E109" i="7"/>
  <c r="G109" i="7"/>
  <c r="G29" i="7"/>
  <c r="G139" i="7"/>
  <c r="F149" i="7"/>
  <c r="E99" i="7"/>
  <c r="F79" i="7"/>
  <c r="E149" i="7"/>
  <c r="E79" i="7"/>
  <c r="F139" i="7"/>
  <c r="E139" i="7"/>
  <c r="G59" i="7"/>
  <c r="F59" i="7"/>
  <c r="G99" i="7"/>
  <c r="F99" i="7"/>
  <c r="G149" i="7"/>
  <c r="G9" i="7"/>
  <c r="G79" i="7"/>
  <c r="F9" i="7"/>
  <c r="G69" i="7"/>
  <c r="E9" i="7"/>
  <c r="E69" i="7"/>
  <c r="E29" i="7"/>
  <c r="G49" i="7"/>
  <c r="F49" i="7"/>
  <c r="E49" i="7"/>
  <c r="G19" i="7"/>
  <c r="F19" i="7"/>
  <c r="G129" i="7"/>
  <c r="E19" i="7"/>
  <c r="E59" i="7"/>
  <c r="E119" i="7"/>
  <c r="G119" i="7"/>
  <c r="F119" i="7"/>
  <c r="E81" i="7"/>
  <c r="E61" i="7"/>
  <c r="H59" i="7" s="1"/>
  <c r="Q57" i="7"/>
  <c r="Q7" i="6"/>
  <c r="Q98" i="6"/>
  <c r="J54" i="3"/>
  <c r="J53" i="3"/>
  <c r="J49" i="3"/>
  <c r="J58" i="3"/>
  <c r="N61" i="11"/>
  <c r="O16" i="11"/>
  <c r="M61" i="11"/>
  <c r="L16" i="11"/>
  <c r="L61" i="11"/>
  <c r="J61" i="11"/>
  <c r="J16" i="11"/>
  <c r="H61" i="11"/>
  <c r="G61" i="11"/>
  <c r="H52" i="11"/>
  <c r="G52" i="11"/>
  <c r="P57" i="12"/>
  <c r="M57" i="12"/>
  <c r="E57" i="12"/>
  <c r="H57" i="12"/>
  <c r="G57" i="12"/>
  <c r="F57" i="12"/>
  <c r="K57" i="12"/>
  <c r="J57" i="12"/>
  <c r="I57" i="12"/>
  <c r="N57" i="12"/>
  <c r="L57" i="12"/>
  <c r="K15" i="6"/>
  <c r="L30" i="6"/>
  <c r="K37" i="6"/>
  <c r="G43" i="6"/>
  <c r="L65" i="6"/>
  <c r="E72" i="6"/>
  <c r="G78" i="6"/>
  <c r="P9" i="6"/>
  <c r="L15" i="6"/>
  <c r="M30" i="6"/>
  <c r="L37" i="6"/>
  <c r="H43" i="6"/>
  <c r="O65" i="6"/>
  <c r="F72" i="6"/>
  <c r="H78" i="6"/>
  <c r="O9" i="6"/>
  <c r="M15" i="6"/>
  <c r="N30" i="6"/>
  <c r="I43" i="6"/>
  <c r="G72" i="6"/>
  <c r="I78" i="6"/>
  <c r="O57" i="12"/>
  <c r="K16" i="6"/>
  <c r="L22" i="6"/>
  <c r="H44" i="6"/>
  <c r="F51" i="6"/>
  <c r="P72" i="6"/>
  <c r="P85" i="6"/>
  <c r="J92" i="6"/>
  <c r="L99" i="6"/>
  <c r="L16" i="6"/>
  <c r="I23" i="6"/>
  <c r="I44" i="6"/>
  <c r="G51" i="6"/>
  <c r="G86" i="6"/>
  <c r="K92" i="6"/>
  <c r="M99" i="6"/>
  <c r="L92" i="6"/>
  <c r="E71" i="7"/>
  <c r="H69" i="7" s="1"/>
  <c r="O49" i="2"/>
  <c r="K23" i="6"/>
  <c r="I51" i="6"/>
  <c r="O99" i="6"/>
  <c r="L23" i="6"/>
  <c r="N44" i="6"/>
  <c r="J51" i="6"/>
  <c r="G57" i="6"/>
  <c r="J86" i="6"/>
  <c r="N92" i="6"/>
  <c r="P99" i="6"/>
  <c r="E106" i="6"/>
  <c r="G29" i="6"/>
  <c r="F106" i="6"/>
  <c r="E41" i="7"/>
  <c r="Q37" i="7"/>
  <c r="M16" i="6"/>
  <c r="K44" i="6"/>
  <c r="E57" i="6"/>
  <c r="H86" i="6"/>
  <c r="M92" i="6"/>
  <c r="G106" i="6"/>
  <c r="Q67" i="7"/>
  <c r="E8" i="6"/>
  <c r="O23" i="6"/>
  <c r="I29" i="6"/>
  <c r="M51" i="6"/>
  <c r="L57" i="6"/>
  <c r="M86" i="6"/>
  <c r="J93" i="6"/>
  <c r="G100" i="6"/>
  <c r="M106" i="6"/>
  <c r="P6" i="8"/>
  <c r="O6" i="8"/>
  <c r="M6" i="8"/>
  <c r="L6" i="8"/>
  <c r="N6" i="8"/>
  <c r="E151" i="7"/>
  <c r="H149" i="7" s="1"/>
  <c r="K6" i="8"/>
  <c r="E121" i="7"/>
  <c r="J6" i="8"/>
  <c r="I6" i="8"/>
  <c r="H6" i="8"/>
  <c r="E131" i="7"/>
  <c r="H129" i="7" s="1"/>
  <c r="E21" i="7"/>
  <c r="N49" i="2"/>
  <c r="O16" i="6"/>
  <c r="M23" i="6"/>
  <c r="O44" i="6"/>
  <c r="K86" i="6"/>
  <c r="N23" i="6"/>
  <c r="H29" i="6"/>
  <c r="L51" i="6"/>
  <c r="K57" i="6"/>
  <c r="F100" i="6"/>
  <c r="P106" i="6"/>
  <c r="P88" i="11"/>
  <c r="N88" i="11"/>
  <c r="K88" i="11"/>
  <c r="H88" i="11"/>
  <c r="G88" i="11"/>
  <c r="F88" i="11"/>
  <c r="E88" i="11"/>
  <c r="O88" i="11"/>
  <c r="M88" i="11"/>
  <c r="L88" i="11"/>
  <c r="J88" i="11"/>
  <c r="I88" i="11"/>
  <c r="J57" i="3"/>
  <c r="H51" i="6"/>
  <c r="N99" i="6"/>
  <c r="H57" i="6"/>
  <c r="F93" i="6"/>
  <c r="O115" i="11"/>
  <c r="M115" i="11"/>
  <c r="L115" i="11"/>
  <c r="K115" i="11"/>
  <c r="J115" i="11"/>
  <c r="I115" i="11"/>
  <c r="H115" i="11"/>
  <c r="G115" i="11"/>
  <c r="P115" i="11"/>
  <c r="N115" i="11"/>
  <c r="F8" i="6"/>
  <c r="P23" i="6"/>
  <c r="J29" i="6"/>
  <c r="P51" i="6"/>
  <c r="M57" i="6"/>
  <c r="N86" i="6"/>
  <c r="K93" i="6"/>
  <c r="H100" i="6"/>
  <c r="M16" i="11"/>
  <c r="I16" i="11"/>
  <c r="H16" i="11"/>
  <c r="G16" i="11"/>
  <c r="F16" i="11"/>
  <c r="E16" i="11"/>
  <c r="P16" i="11"/>
  <c r="N16" i="11"/>
  <c r="J60" i="3"/>
  <c r="G8" i="6"/>
  <c r="L29" i="6"/>
  <c r="N57" i="6"/>
  <c r="E64" i="6"/>
  <c r="O86" i="6"/>
  <c r="K100" i="6"/>
  <c r="E107" i="6"/>
  <c r="F57" i="6"/>
  <c r="H8" i="6"/>
  <c r="M29" i="6"/>
  <c r="O57" i="6"/>
  <c r="F64" i="6"/>
  <c r="P86" i="6"/>
  <c r="L100" i="6"/>
  <c r="P49" i="2"/>
  <c r="I107" i="6"/>
  <c r="O106" i="6"/>
  <c r="H93" i="6"/>
  <c r="G85" i="6"/>
  <c r="N79" i="6"/>
  <c r="M71" i="6"/>
  <c r="G58" i="6"/>
  <c r="F50" i="6"/>
  <c r="M44" i="6"/>
  <c r="F23" i="6"/>
  <c r="E15" i="6"/>
  <c r="L9" i="6"/>
  <c r="N106" i="6"/>
  <c r="G93" i="6"/>
  <c r="F85" i="6"/>
  <c r="M79" i="6"/>
  <c r="L71" i="6"/>
  <c r="F58" i="6"/>
  <c r="L106" i="6"/>
  <c r="E93" i="6"/>
  <c r="K79" i="6"/>
  <c r="J71" i="6"/>
  <c r="P57" i="6"/>
  <c r="J44" i="6"/>
  <c r="P30" i="6"/>
  <c r="K106" i="6"/>
  <c r="P92" i="6"/>
  <c r="J79" i="6"/>
  <c r="I71" i="6"/>
  <c r="P65" i="6"/>
  <c r="J106" i="6"/>
  <c r="P100" i="6"/>
  <c r="O92" i="6"/>
  <c r="K99" i="6"/>
  <c r="E85" i="6"/>
  <c r="G79" i="6"/>
  <c r="O64" i="6"/>
  <c r="P50" i="6"/>
  <c r="H23" i="6"/>
  <c r="J9" i="6"/>
  <c r="J99" i="6"/>
  <c r="F79" i="6"/>
  <c r="N64" i="6"/>
  <c r="O50" i="6"/>
  <c r="G23" i="6"/>
  <c r="I9" i="6"/>
  <c r="I99" i="6"/>
  <c r="P93" i="6"/>
  <c r="E79" i="6"/>
  <c r="M64" i="6"/>
  <c r="N50" i="6"/>
  <c r="E23" i="6"/>
  <c r="H9" i="6"/>
  <c r="H99" i="6"/>
  <c r="O93" i="6"/>
  <c r="P78" i="6"/>
  <c r="L64" i="6"/>
  <c r="M50" i="6"/>
  <c r="P22" i="6"/>
  <c r="G9" i="6"/>
  <c r="L93" i="6"/>
  <c r="M78" i="6"/>
  <c r="M22" i="6"/>
  <c r="G99" i="6"/>
  <c r="N93" i="6"/>
  <c r="O78" i="6"/>
  <c r="K64" i="6"/>
  <c r="L50" i="6"/>
  <c r="O22" i="6"/>
  <c r="F9" i="6"/>
  <c r="P44" i="6"/>
  <c r="F99" i="6"/>
  <c r="M93" i="6"/>
  <c r="N78" i="6"/>
  <c r="J64" i="6"/>
  <c r="K50" i="6"/>
  <c r="N22" i="6"/>
  <c r="E9" i="6"/>
  <c r="I64" i="6"/>
  <c r="P58" i="6"/>
  <c r="J50" i="6"/>
  <c r="O30" i="6"/>
  <c r="P8" i="6"/>
  <c r="E99" i="6"/>
  <c r="I106" i="6"/>
  <c r="J100" i="6"/>
  <c r="F86" i="6"/>
  <c r="O71" i="6"/>
  <c r="N65" i="6"/>
  <c r="J57" i="6"/>
  <c r="O51" i="6"/>
  <c r="K43" i="6"/>
  <c r="H106" i="6"/>
  <c r="I100" i="6"/>
  <c r="E86" i="6"/>
  <c r="N71" i="6"/>
  <c r="M65" i="6"/>
  <c r="I57" i="6"/>
  <c r="N51" i="6"/>
  <c r="J43" i="6"/>
  <c r="K29" i="6"/>
  <c r="O15" i="6"/>
  <c r="J23" i="6"/>
  <c r="L36" i="6"/>
  <c r="I36" i="6"/>
  <c r="F37" i="6"/>
  <c r="E37" i="6"/>
  <c r="P36" i="6"/>
  <c r="O36" i="6"/>
  <c r="K36" i="6"/>
  <c r="N36" i="6"/>
  <c r="M36" i="6"/>
  <c r="P37" i="6"/>
  <c r="Q14" i="6"/>
  <c r="O106" i="11"/>
  <c r="M106" i="11"/>
  <c r="I106" i="11"/>
  <c r="G106" i="11"/>
  <c r="P106" i="11"/>
  <c r="N106" i="11"/>
  <c r="L106" i="11"/>
  <c r="K106" i="11"/>
  <c r="J106" i="11"/>
  <c r="H106" i="11"/>
  <c r="F106" i="11"/>
  <c r="P16" i="6"/>
  <c r="K51" i="6"/>
  <c r="E100" i="6"/>
  <c r="I93" i="6"/>
  <c r="I8" i="6"/>
  <c r="N29" i="6"/>
  <c r="E58" i="6"/>
  <c r="G64" i="6"/>
  <c r="M100" i="6"/>
  <c r="G107" i="6"/>
  <c r="N16" i="6"/>
  <c r="L44" i="6"/>
  <c r="I86" i="6"/>
  <c r="F29" i="6"/>
  <c r="M7" i="11"/>
  <c r="K7" i="11"/>
  <c r="G7" i="11"/>
  <c r="P7" i="11"/>
  <c r="O7" i="11"/>
  <c r="N7" i="11"/>
  <c r="L7" i="11"/>
  <c r="J7" i="11"/>
  <c r="I7" i="11"/>
  <c r="H7" i="11"/>
  <c r="F7" i="11"/>
  <c r="E7" i="11"/>
  <c r="J59" i="3"/>
  <c r="L86" i="6"/>
  <c r="J124" i="11"/>
  <c r="H124" i="11"/>
  <c r="F124" i="11"/>
  <c r="I124" i="11"/>
  <c r="G124" i="11"/>
  <c r="E124" i="11"/>
  <c r="O124" i="11"/>
  <c r="N124" i="11"/>
  <c r="M124" i="11"/>
  <c r="L124" i="11"/>
  <c r="K124" i="11"/>
  <c r="P124" i="11"/>
  <c r="H25" i="11"/>
  <c r="F25" i="11"/>
  <c r="M25" i="11"/>
  <c r="L25" i="11"/>
  <c r="K25" i="11"/>
  <c r="J25" i="11"/>
  <c r="I25" i="11"/>
  <c r="G25" i="11"/>
  <c r="O25" i="11"/>
  <c r="N25" i="11"/>
  <c r="J61" i="3"/>
  <c r="J8" i="6"/>
  <c r="O29" i="6"/>
  <c r="E36" i="6"/>
  <c r="H58" i="6"/>
  <c r="H64" i="6"/>
  <c r="Q84" i="6"/>
  <c r="N100" i="6"/>
  <c r="H107" i="6"/>
  <c r="Q27" i="7"/>
  <c r="E31" i="7"/>
  <c r="H29" i="7" s="1"/>
  <c r="E6" i="8"/>
  <c r="E25" i="11"/>
  <c r="I97" i="11"/>
  <c r="G97" i="11"/>
  <c r="P97" i="11"/>
  <c r="O97" i="11"/>
  <c r="E97" i="11"/>
  <c r="N97" i="11"/>
  <c r="M97" i="11"/>
  <c r="L97" i="11"/>
  <c r="K97" i="11"/>
  <c r="F29" i="8"/>
  <c r="E29" i="8"/>
  <c r="E25" i="8"/>
  <c r="K52" i="11"/>
  <c r="I52" i="11"/>
  <c r="E52" i="11"/>
  <c r="P52" i="11"/>
  <c r="O52" i="11"/>
  <c r="N52" i="11"/>
  <c r="M52" i="11"/>
  <c r="L52" i="11"/>
  <c r="F52" i="11"/>
  <c r="Q6" i="10"/>
  <c r="E11" i="10"/>
  <c r="M34" i="8"/>
  <c r="F97" i="11"/>
  <c r="B72" i="5"/>
  <c r="H97" i="11"/>
  <c r="O61" i="11"/>
  <c r="K61" i="11"/>
  <c r="I61" i="11"/>
  <c r="P61" i="11"/>
  <c r="B73" i="5"/>
  <c r="E51" i="7"/>
  <c r="H49" i="7" s="1"/>
  <c r="E27" i="8"/>
  <c r="J97" i="11"/>
  <c r="G27" i="8"/>
  <c r="F27" i="8"/>
  <c r="H30" i="8"/>
  <c r="G30" i="8"/>
  <c r="F30" i="8"/>
  <c r="E30" i="8"/>
  <c r="I34" i="8"/>
  <c r="H34" i="8"/>
  <c r="G34" i="8"/>
  <c r="F34" i="8"/>
  <c r="J31" i="8"/>
  <c r="I31" i="8"/>
  <c r="H31" i="8"/>
  <c r="G31" i="8"/>
  <c r="F31" i="8"/>
  <c r="K32" i="8"/>
  <c r="H27" i="8"/>
  <c r="J32" i="8"/>
  <c r="E32" i="8"/>
  <c r="B74" i="5"/>
  <c r="E61" i="11"/>
  <c r="F61" i="11"/>
  <c r="E31" i="8"/>
  <c r="E91" i="7"/>
  <c r="H89" i="7" s="1"/>
  <c r="K34" i="8"/>
  <c r="L34" i="8"/>
  <c r="N34" i="8"/>
  <c r="F32" i="8"/>
  <c r="H32" i="8"/>
  <c r="E34" i="8"/>
  <c r="J34" i="8"/>
  <c r="H9" i="7" l="1"/>
  <c r="M45" i="6"/>
  <c r="M58" i="7" s="1"/>
  <c r="K45" i="6"/>
  <c r="K58" i="7" s="1"/>
  <c r="H94" i="6"/>
  <c r="H128" i="7" s="1"/>
  <c r="I24" i="6"/>
  <c r="I28" i="7" s="1"/>
  <c r="P17" i="6"/>
  <c r="P18" i="7" s="1"/>
  <c r="O45" i="6"/>
  <c r="O58" i="7" s="1"/>
  <c r="P101" i="6"/>
  <c r="P138" i="7" s="1"/>
  <c r="J45" i="6"/>
  <c r="J58" i="7" s="1"/>
  <c r="Q25" i="6"/>
  <c r="L73" i="6"/>
  <c r="L98" i="7" s="1"/>
  <c r="E10" i="6"/>
  <c r="E24" i="6"/>
  <c r="E28" i="7" s="1"/>
  <c r="F52" i="6"/>
  <c r="F68" i="7" s="1"/>
  <c r="F70" i="7" s="1"/>
  <c r="F17" i="6"/>
  <c r="F18" i="7" s="1"/>
  <c r="F20" i="7" s="1"/>
  <c r="F20" i="11" s="1"/>
  <c r="E94" i="6"/>
  <c r="E128" i="7" s="1"/>
  <c r="I59" i="6"/>
  <c r="I78" i="7" s="1"/>
  <c r="F73" i="6"/>
  <c r="F98" i="7" s="1"/>
  <c r="F100" i="7" s="1"/>
  <c r="I94" i="6"/>
  <c r="I128" i="7" s="1"/>
  <c r="L45" i="6"/>
  <c r="L58" i="7" s="1"/>
  <c r="M52" i="6"/>
  <c r="M68" i="7" s="1"/>
  <c r="Q46" i="6"/>
  <c r="L31" i="6"/>
  <c r="L38" i="7" s="1"/>
  <c r="F94" i="6"/>
  <c r="F128" i="7" s="1"/>
  <c r="F130" i="7" s="1"/>
  <c r="K108" i="6"/>
  <c r="K148" i="7" s="1"/>
  <c r="Q11" i="6"/>
  <c r="M17" i="6"/>
  <c r="M18" i="7" s="1"/>
  <c r="N80" i="6"/>
  <c r="N108" i="7" s="1"/>
  <c r="N45" i="6"/>
  <c r="N58" i="7" s="1"/>
  <c r="E8" i="7"/>
  <c r="I10" i="6"/>
  <c r="P45" i="6"/>
  <c r="P58" i="7" s="1"/>
  <c r="G17" i="6"/>
  <c r="G18" i="7" s="1"/>
  <c r="G20" i="7" s="1"/>
  <c r="G20" i="11" s="1"/>
  <c r="E144" i="7"/>
  <c r="H17" i="6"/>
  <c r="H18" i="7" s="1"/>
  <c r="E186" i="7"/>
  <c r="E134" i="7"/>
  <c r="I31" i="6"/>
  <c r="I38" i="7" s="1"/>
  <c r="E45" i="6"/>
  <c r="P94" i="6"/>
  <c r="P128" i="7" s="1"/>
  <c r="F24" i="6"/>
  <c r="F28" i="7" s="1"/>
  <c r="F30" i="7" s="1"/>
  <c r="F29" i="11" s="1"/>
  <c r="F31" i="6"/>
  <c r="F38" i="7" s="1"/>
  <c r="L52" i="6"/>
  <c r="L68" i="7" s="1"/>
  <c r="E24" i="7"/>
  <c r="P10" i="6"/>
  <c r="H24" i="6"/>
  <c r="H28" i="7" s="1"/>
  <c r="H30" i="7" s="1"/>
  <c r="H29" i="11" s="1"/>
  <c r="I73" i="6"/>
  <c r="I98" i="7" s="1"/>
  <c r="I17" i="6"/>
  <c r="I18" i="7" s="1"/>
  <c r="J31" i="6"/>
  <c r="J38" i="7" s="1"/>
  <c r="F45" i="6"/>
  <c r="F58" i="7" s="1"/>
  <c r="F60" i="7" s="1"/>
  <c r="F56" i="11" s="1"/>
  <c r="I22" i="8"/>
  <c r="G45" i="6"/>
  <c r="G58" i="7" s="1"/>
  <c r="G60" i="7" s="1"/>
  <c r="G56" i="11" s="1"/>
  <c r="J52" i="6"/>
  <c r="J68" i="7" s="1"/>
  <c r="Q74" i="6"/>
  <c r="K17" i="6"/>
  <c r="K18" i="7" s="1"/>
  <c r="J22" i="8"/>
  <c r="E73" i="6"/>
  <c r="H45" i="6"/>
  <c r="H58" i="7" s="1"/>
  <c r="H60" i="7" s="1"/>
  <c r="H56" i="11" s="1"/>
  <c r="G31" i="6"/>
  <c r="G38" i="7" s="1"/>
  <c r="H31" i="6"/>
  <c r="H38" i="7" s="1"/>
  <c r="H22" i="8"/>
  <c r="I101" i="6"/>
  <c r="I138" i="7" s="1"/>
  <c r="K73" i="6"/>
  <c r="K98" i="7" s="1"/>
  <c r="J17" i="6"/>
  <c r="J18" i="7" s="1"/>
  <c r="K31" i="6"/>
  <c r="K38" i="7" s="1"/>
  <c r="Q18" i="6"/>
  <c r="L17" i="6"/>
  <c r="L18" i="7" s="1"/>
  <c r="E124" i="7"/>
  <c r="M73" i="6"/>
  <c r="M98" i="7" s="1"/>
  <c r="I45" i="6"/>
  <c r="I58" i="7" s="1"/>
  <c r="J73" i="6"/>
  <c r="J98" i="7" s="1"/>
  <c r="G80" i="6"/>
  <c r="G108" i="7" s="1"/>
  <c r="G110" i="7" s="1"/>
  <c r="G101" i="11" s="1"/>
  <c r="N73" i="6"/>
  <c r="N98" i="7" s="1"/>
  <c r="E17" i="6"/>
  <c r="H80" i="6"/>
  <c r="H108" i="7" s="1"/>
  <c r="H110" i="7" s="1"/>
  <c r="H101" i="11" s="1"/>
  <c r="O17" i="6"/>
  <c r="O18" i="7" s="1"/>
  <c r="Q57" i="12"/>
  <c r="K52" i="6"/>
  <c r="K68" i="7" s="1"/>
  <c r="O52" i="6"/>
  <c r="O68" i="7" s="1"/>
  <c r="M80" i="6"/>
  <c r="M108" i="7" s="1"/>
  <c r="E38" i="6"/>
  <c r="J38" i="6"/>
  <c r="J48" i="7" s="1"/>
  <c r="I38" i="6"/>
  <c r="I48" i="7" s="1"/>
  <c r="Q39" i="6"/>
  <c r="O38" i="6"/>
  <c r="O48" i="7" s="1"/>
  <c r="N38" i="6"/>
  <c r="N48" i="7" s="1"/>
  <c r="K38" i="6"/>
  <c r="K48" i="7" s="1"/>
  <c r="P38" i="6"/>
  <c r="P48" i="7" s="1"/>
  <c r="M38" i="6"/>
  <c r="M48" i="7" s="1"/>
  <c r="L38" i="6"/>
  <c r="L48" i="7" s="1"/>
  <c r="H38" i="6"/>
  <c r="H48" i="7" s="1"/>
  <c r="H50" i="7" s="1"/>
  <c r="G38" i="6"/>
  <c r="G48" i="7" s="1"/>
  <c r="G50" i="7" s="1"/>
  <c r="F38" i="6"/>
  <c r="F48" i="7" s="1"/>
  <c r="F50" i="7" s="1"/>
  <c r="N52" i="6"/>
  <c r="N68" i="7" s="1"/>
  <c r="O80" i="6"/>
  <c r="O108" i="7" s="1"/>
  <c r="P73" i="6"/>
  <c r="P98" i="7" s="1"/>
  <c r="Q32" i="6"/>
  <c r="Q35" i="12"/>
  <c r="P80" i="6"/>
  <c r="P108" i="7" s="1"/>
  <c r="G59" i="6"/>
  <c r="G78" i="7" s="1"/>
  <c r="G80" i="7" s="1"/>
  <c r="G74" i="11" s="1"/>
  <c r="L80" i="6"/>
  <c r="L108" i="7" s="1"/>
  <c r="I52" i="6"/>
  <c r="I68" i="7" s="1"/>
  <c r="Q53" i="6"/>
  <c r="Q81" i="6"/>
  <c r="E52" i="6"/>
  <c r="I80" i="6"/>
  <c r="I108" i="7" s="1"/>
  <c r="E104" i="7"/>
  <c r="E180" i="7"/>
  <c r="E44" i="7"/>
  <c r="E168" i="7"/>
  <c r="H39" i="7"/>
  <c r="E54" i="7"/>
  <c r="H99" i="7"/>
  <c r="J80" i="6"/>
  <c r="J108" i="7" s="1"/>
  <c r="J94" i="6"/>
  <c r="J128" i="7" s="1"/>
  <c r="O73" i="6"/>
  <c r="O98" i="7" s="1"/>
  <c r="J87" i="6"/>
  <c r="J118" i="7" s="1"/>
  <c r="Q88" i="6"/>
  <c r="P87" i="6"/>
  <c r="P118" i="7" s="1"/>
  <c r="M87" i="6"/>
  <c r="M118" i="7" s="1"/>
  <c r="I87" i="6"/>
  <c r="I118" i="7" s="1"/>
  <c r="F87" i="6"/>
  <c r="F118" i="7" s="1"/>
  <c r="F120" i="7" s="1"/>
  <c r="F110" i="11" s="1"/>
  <c r="E87" i="6"/>
  <c r="L22" i="8"/>
  <c r="M22" i="8"/>
  <c r="E162" i="7"/>
  <c r="G24" i="6"/>
  <c r="G28" i="7" s="1"/>
  <c r="G30" i="7" s="1"/>
  <c r="G29" i="11" s="1"/>
  <c r="E84" i="7"/>
  <c r="G52" i="6"/>
  <c r="G68" i="7" s="1"/>
  <c r="J59" i="6"/>
  <c r="J78" i="7" s="1"/>
  <c r="H59" i="6"/>
  <c r="H78" i="7" s="1"/>
  <c r="F59" i="6"/>
  <c r="F78" i="7" s="1"/>
  <c r="F80" i="7" s="1"/>
  <c r="F74" i="11" s="1"/>
  <c r="E59" i="6"/>
  <c r="N59" i="6"/>
  <c r="N78" i="7" s="1"/>
  <c r="M59" i="6"/>
  <c r="M78" i="7" s="1"/>
  <c r="L59" i="6"/>
  <c r="L78" i="7" s="1"/>
  <c r="K59" i="6"/>
  <c r="K78" i="7" s="1"/>
  <c r="O59" i="6"/>
  <c r="O78" i="7" s="1"/>
  <c r="P59" i="6"/>
  <c r="P78" i="7" s="1"/>
  <c r="Q60" i="6"/>
  <c r="L108" i="6"/>
  <c r="L148" i="7" s="1"/>
  <c r="K80" i="6"/>
  <c r="K108" i="7" s="1"/>
  <c r="H73" i="6"/>
  <c r="H98" i="7" s="1"/>
  <c r="H19" i="7"/>
  <c r="E22" i="8"/>
  <c r="I108" i="6"/>
  <c r="I148" i="7" s="1"/>
  <c r="L87" i="6"/>
  <c r="L118" i="7" s="1"/>
  <c r="L10" i="6"/>
  <c r="N10" i="6"/>
  <c r="M10" i="6"/>
  <c r="O10" i="6"/>
  <c r="K10" i="6"/>
  <c r="H10" i="6"/>
  <c r="F10" i="6"/>
  <c r="G10" i="6"/>
  <c r="J10" i="6"/>
  <c r="H52" i="6"/>
  <c r="H68" i="7" s="1"/>
  <c r="P52" i="6"/>
  <c r="P68" i="7" s="1"/>
  <c r="H130" i="7"/>
  <c r="M31" i="6"/>
  <c r="M38" i="7" s="1"/>
  <c r="N31" i="6"/>
  <c r="N38" i="7" s="1"/>
  <c r="P31" i="6"/>
  <c r="P38" i="7" s="1"/>
  <c r="O31" i="6"/>
  <c r="O38" i="7" s="1"/>
  <c r="N22" i="8"/>
  <c r="F80" i="6"/>
  <c r="F108" i="7" s="1"/>
  <c r="F110" i="7" s="1"/>
  <c r="F101" i="11" s="1"/>
  <c r="P22" i="8"/>
  <c r="E94" i="7"/>
  <c r="H87" i="6"/>
  <c r="H118" i="7" s="1"/>
  <c r="G87" i="6"/>
  <c r="G118" i="7" s="1"/>
  <c r="G120" i="7" s="1"/>
  <c r="G110" i="11" s="1"/>
  <c r="E34" i="7"/>
  <c r="N87" i="6"/>
  <c r="N118" i="7" s="1"/>
  <c r="E74" i="7"/>
  <c r="E174" i="7"/>
  <c r="H119" i="7"/>
  <c r="E114" i="7"/>
  <c r="C30" i="15"/>
  <c r="E30" i="15" s="1"/>
  <c r="H101" i="6"/>
  <c r="H138" i="7" s="1"/>
  <c r="H140" i="7" s="1"/>
  <c r="H128" i="11" s="1"/>
  <c r="F101" i="6"/>
  <c r="F138" i="7" s="1"/>
  <c r="F140" i="7" s="1"/>
  <c r="F128" i="11" s="1"/>
  <c r="E101" i="6"/>
  <c r="Q102" i="6"/>
  <c r="O101" i="6"/>
  <c r="O138" i="7" s="1"/>
  <c r="N101" i="6"/>
  <c r="N138" i="7" s="1"/>
  <c r="M101" i="6"/>
  <c r="M138" i="7" s="1"/>
  <c r="L101" i="6"/>
  <c r="L138" i="7" s="1"/>
  <c r="K101" i="6"/>
  <c r="K138" i="7" s="1"/>
  <c r="J101" i="6"/>
  <c r="J138" i="7" s="1"/>
  <c r="G101" i="6"/>
  <c r="G138" i="7" s="1"/>
  <c r="G140" i="7" s="1"/>
  <c r="G128" i="11" s="1"/>
  <c r="M24" i="6"/>
  <c r="M28" i="7" s="1"/>
  <c r="L24" i="6"/>
  <c r="L28" i="7" s="1"/>
  <c r="K24" i="6"/>
  <c r="K28" i="7" s="1"/>
  <c r="J24" i="6"/>
  <c r="J28" i="7" s="1"/>
  <c r="P24" i="6"/>
  <c r="P28" i="7" s="1"/>
  <c r="O24" i="6"/>
  <c r="O28" i="7" s="1"/>
  <c r="N24" i="6"/>
  <c r="N28" i="7" s="1"/>
  <c r="M94" i="6"/>
  <c r="M128" i="7" s="1"/>
  <c r="Q95" i="6"/>
  <c r="O94" i="6"/>
  <c r="O128" i="7" s="1"/>
  <c r="N94" i="6"/>
  <c r="N128" i="7" s="1"/>
  <c r="L94" i="6"/>
  <c r="L128" i="7" s="1"/>
  <c r="K94" i="6"/>
  <c r="K128" i="7" s="1"/>
  <c r="G66" i="6"/>
  <c r="G88" i="7" s="1"/>
  <c r="G90" i="7" s="1"/>
  <c r="G83" i="11" s="1"/>
  <c r="E66" i="6"/>
  <c r="P66" i="6"/>
  <c r="P88" i="7" s="1"/>
  <c r="N66" i="6"/>
  <c r="N88" i="7" s="1"/>
  <c r="Q67" i="6"/>
  <c r="O66" i="6"/>
  <c r="O88" i="7" s="1"/>
  <c r="F66" i="6"/>
  <c r="F88" i="7" s="1"/>
  <c r="F90" i="7" s="1"/>
  <c r="F83" i="11" s="1"/>
  <c r="M66" i="6"/>
  <c r="M88" i="7" s="1"/>
  <c r="I66" i="6"/>
  <c r="I88" i="7" s="1"/>
  <c r="L66" i="6"/>
  <c r="L88" i="7" s="1"/>
  <c r="K66" i="6"/>
  <c r="K88" i="7" s="1"/>
  <c r="J66" i="6"/>
  <c r="J88" i="7" s="1"/>
  <c r="H79" i="7"/>
  <c r="N17" i="6"/>
  <c r="N18" i="7" s="1"/>
  <c r="E154" i="7"/>
  <c r="E80" i="6"/>
  <c r="E64" i="7"/>
  <c r="K87" i="6"/>
  <c r="K118" i="7" s="1"/>
  <c r="H66" i="6"/>
  <c r="H88" i="7" s="1"/>
  <c r="H90" i="7" s="1"/>
  <c r="H83" i="11" s="1"/>
  <c r="E31" i="6"/>
  <c r="K22" i="8"/>
  <c r="J108" i="6"/>
  <c r="J148" i="7" s="1"/>
  <c r="H108" i="6"/>
  <c r="H148" i="7" s="1"/>
  <c r="H150" i="7" s="1"/>
  <c r="H137" i="11" s="1"/>
  <c r="G108" i="6"/>
  <c r="G148" i="7" s="1"/>
  <c r="G150" i="7" s="1"/>
  <c r="G137" i="11" s="1"/>
  <c r="F108" i="6"/>
  <c r="F148" i="7" s="1"/>
  <c r="F150" i="7" s="1"/>
  <c r="F137" i="11" s="1"/>
  <c r="O108" i="6"/>
  <c r="O148" i="7" s="1"/>
  <c r="N108" i="6"/>
  <c r="N148" i="7" s="1"/>
  <c r="M108" i="6"/>
  <c r="M148" i="7" s="1"/>
  <c r="E108" i="6"/>
  <c r="P108" i="6"/>
  <c r="P148" i="7" s="1"/>
  <c r="Q109" i="6"/>
  <c r="G73" i="6"/>
  <c r="G98" i="7" s="1"/>
  <c r="O22" i="8"/>
  <c r="O87" i="6"/>
  <c r="O118" i="7" s="1"/>
  <c r="G94" i="6"/>
  <c r="G128" i="7" s="1"/>
  <c r="L179" i="7" l="1"/>
  <c r="E6" i="9"/>
  <c r="F7" i="9" s="1"/>
  <c r="M173" i="7"/>
  <c r="I185" i="7"/>
  <c r="H120" i="7"/>
  <c r="H110" i="11" s="1"/>
  <c r="H80" i="7"/>
  <c r="H74" i="11" s="1"/>
  <c r="H20" i="7"/>
  <c r="H20" i="11" s="1"/>
  <c r="H185" i="7"/>
  <c r="P179" i="7"/>
  <c r="I167" i="7"/>
  <c r="L8" i="8"/>
  <c r="L24" i="8" s="1"/>
  <c r="K8" i="8"/>
  <c r="K24" i="8" s="1"/>
  <c r="J8" i="8"/>
  <c r="J24" i="8" s="1"/>
  <c r="P8" i="8"/>
  <c r="P24" i="8" s="1"/>
  <c r="O8" i="8"/>
  <c r="O24" i="8" s="1"/>
  <c r="N8" i="8"/>
  <c r="N24" i="8" s="1"/>
  <c r="M8" i="8"/>
  <c r="M24" i="8" s="1"/>
  <c r="F47" i="11"/>
  <c r="I8" i="8"/>
  <c r="I24" i="8" s="1"/>
  <c r="H8" i="8"/>
  <c r="H24" i="8" s="1"/>
  <c r="G8" i="8"/>
  <c r="G24" i="8" s="1"/>
  <c r="F8" i="8"/>
  <c r="F24" i="8" s="1"/>
  <c r="P173" i="7"/>
  <c r="P9" i="8"/>
  <c r="P25" i="8" s="1"/>
  <c r="O9" i="8"/>
  <c r="O25" i="8" s="1"/>
  <c r="N9" i="8"/>
  <c r="N25" i="8" s="1"/>
  <c r="L9" i="8"/>
  <c r="L25" i="8" s="1"/>
  <c r="K9" i="8"/>
  <c r="K25" i="8" s="1"/>
  <c r="G47" i="11"/>
  <c r="M9" i="8"/>
  <c r="M25" i="8" s="1"/>
  <c r="G9" i="8"/>
  <c r="G25" i="8" s="1"/>
  <c r="I9" i="8"/>
  <c r="I25" i="8" s="1"/>
  <c r="J9" i="8"/>
  <c r="J25" i="8" s="1"/>
  <c r="H9" i="8"/>
  <c r="H25" i="8" s="1"/>
  <c r="J167" i="7"/>
  <c r="E88" i="7"/>
  <c r="Q66" i="6"/>
  <c r="H119" i="11"/>
  <c r="H53" i="12" s="1"/>
  <c r="H184" i="7"/>
  <c r="L185" i="7"/>
  <c r="H70" i="7"/>
  <c r="H173" i="7"/>
  <c r="N10" i="8"/>
  <c r="N26" i="8" s="1"/>
  <c r="M10" i="8"/>
  <c r="M26" i="8" s="1"/>
  <c r="L10" i="8"/>
  <c r="L26" i="8" s="1"/>
  <c r="K10" i="8"/>
  <c r="K26" i="8" s="1"/>
  <c r="I10" i="8"/>
  <c r="I26" i="8" s="1"/>
  <c r="H47" i="11"/>
  <c r="P10" i="8"/>
  <c r="P26" i="8" s="1"/>
  <c r="O10" i="8"/>
  <c r="O26" i="8" s="1"/>
  <c r="J10" i="8"/>
  <c r="J26" i="8" s="1"/>
  <c r="H10" i="8"/>
  <c r="H26" i="8" s="1"/>
  <c r="G130" i="7"/>
  <c r="G185" i="7"/>
  <c r="N185" i="7"/>
  <c r="J6" i="9"/>
  <c r="J8" i="7"/>
  <c r="O185" i="7"/>
  <c r="G6" i="9"/>
  <c r="G8" i="7"/>
  <c r="G173" i="7"/>
  <c r="G70" i="7"/>
  <c r="K185" i="7"/>
  <c r="I179" i="7"/>
  <c r="Q80" i="6"/>
  <c r="E108" i="7"/>
  <c r="F6" i="9"/>
  <c r="F8" i="7"/>
  <c r="P6" i="9"/>
  <c r="P8" i="7"/>
  <c r="E148" i="7"/>
  <c r="Q108" i="6"/>
  <c r="M8" i="7"/>
  <c r="M6" i="9"/>
  <c r="O173" i="7"/>
  <c r="E10" i="7"/>
  <c r="L6" i="9"/>
  <c r="L8" i="7"/>
  <c r="Q38" i="6"/>
  <c r="E48" i="7"/>
  <c r="Q10" i="6"/>
  <c r="G179" i="7"/>
  <c r="G100" i="7"/>
  <c r="K167" i="7"/>
  <c r="E68" i="7"/>
  <c r="Q52" i="6"/>
  <c r="K173" i="7"/>
  <c r="N167" i="7"/>
  <c r="E193" i="7"/>
  <c r="H167" i="7"/>
  <c r="H40" i="7"/>
  <c r="F178" i="7"/>
  <c r="F92" i="11"/>
  <c r="F42" i="12" s="1"/>
  <c r="J173" i="7"/>
  <c r="L173" i="7"/>
  <c r="F179" i="7"/>
  <c r="P167" i="7"/>
  <c r="E18" i="7"/>
  <c r="E161" i="7" s="1"/>
  <c r="Q17" i="6"/>
  <c r="G167" i="7"/>
  <c r="G40" i="7"/>
  <c r="F167" i="7"/>
  <c r="F40" i="7"/>
  <c r="N6" i="9"/>
  <c r="N8" i="7"/>
  <c r="E38" i="7"/>
  <c r="Q31" i="6"/>
  <c r="Q87" i="6"/>
  <c r="E118" i="7"/>
  <c r="I173" i="7"/>
  <c r="O179" i="7"/>
  <c r="K6" i="9"/>
  <c r="K8" i="7"/>
  <c r="N179" i="7"/>
  <c r="P185" i="7"/>
  <c r="F65" i="11"/>
  <c r="F31" i="12" s="1"/>
  <c r="F172" i="7"/>
  <c r="I8" i="7"/>
  <c r="I6" i="9"/>
  <c r="M167" i="7"/>
  <c r="L167" i="7"/>
  <c r="K179" i="7"/>
  <c r="E138" i="7"/>
  <c r="Q101" i="6"/>
  <c r="Q73" i="6"/>
  <c r="E98" i="7"/>
  <c r="F173" i="7"/>
  <c r="O167" i="7"/>
  <c r="E78" i="7"/>
  <c r="Q59" i="6"/>
  <c r="N173" i="7"/>
  <c r="M185" i="7"/>
  <c r="E130" i="7"/>
  <c r="Q128" i="7"/>
  <c r="H179" i="7"/>
  <c r="H100" i="7"/>
  <c r="J179" i="7"/>
  <c r="Q28" i="7"/>
  <c r="E30" i="7"/>
  <c r="H6" i="9"/>
  <c r="H8" i="7"/>
  <c r="O6" i="9"/>
  <c r="O8" i="7"/>
  <c r="Q94" i="6"/>
  <c r="Q24" i="6"/>
  <c r="F185" i="7"/>
  <c r="J185" i="7"/>
  <c r="M179" i="7"/>
  <c r="Q45" i="6"/>
  <c r="E58" i="7"/>
  <c r="F184" i="7"/>
  <c r="F119" i="11"/>
  <c r="F53" i="12" s="1"/>
  <c r="J7" i="9" l="1"/>
  <c r="G178" i="7"/>
  <c r="G92" i="11"/>
  <c r="G42" i="12" s="1"/>
  <c r="E140" i="7"/>
  <c r="Q138" i="7"/>
  <c r="H172" i="7"/>
  <c r="H65" i="11"/>
  <c r="H31" i="12" s="1"/>
  <c r="E29" i="11"/>
  <c r="E32" i="7"/>
  <c r="F27" i="7" s="1"/>
  <c r="E33" i="7"/>
  <c r="C27" i="15"/>
  <c r="E27" i="15" s="1"/>
  <c r="H10" i="7"/>
  <c r="H161" i="7"/>
  <c r="H192" i="7" s="1"/>
  <c r="K161" i="7"/>
  <c r="K192" i="7" s="1"/>
  <c r="N7" i="9"/>
  <c r="E60" i="7"/>
  <c r="Q58" i="7"/>
  <c r="Q108" i="7"/>
  <c r="E110" i="7"/>
  <c r="G38" i="11"/>
  <c r="G20" i="12" s="1"/>
  <c r="G166" i="7"/>
  <c r="F10" i="7"/>
  <c r="F161" i="7"/>
  <c r="F192" i="7" s="1"/>
  <c r="E173" i="7"/>
  <c r="Q173" i="7" s="1"/>
  <c r="E70" i="7"/>
  <c r="Q68" i="7"/>
  <c r="E119" i="11"/>
  <c r="E133" i="7"/>
  <c r="E132" i="7"/>
  <c r="Q8" i="7"/>
  <c r="H38" i="11"/>
  <c r="H20" i="12" s="1"/>
  <c r="H166" i="7"/>
  <c r="K7" i="9"/>
  <c r="F8" i="9"/>
  <c r="H92" i="11"/>
  <c r="H42" i="12" s="1"/>
  <c r="H178" i="7"/>
  <c r="E90" i="7"/>
  <c r="Q88" i="7"/>
  <c r="O7" i="9"/>
  <c r="I7" i="9"/>
  <c r="I161" i="7"/>
  <c r="I192" i="7" s="1"/>
  <c r="N161" i="7"/>
  <c r="N192" i="7" s="1"/>
  <c r="G7" i="9"/>
  <c r="E50" i="7"/>
  <c r="Q48" i="7"/>
  <c r="L161" i="7"/>
  <c r="L192" i="7" s="1"/>
  <c r="M161" i="7"/>
  <c r="M192" i="7" s="1"/>
  <c r="G184" i="7"/>
  <c r="G119" i="11"/>
  <c r="G53" i="12" s="1"/>
  <c r="H7" i="9"/>
  <c r="E20" i="7"/>
  <c r="Q18" i="7"/>
  <c r="E80" i="7"/>
  <c r="Q78" i="7"/>
  <c r="Q148" i="7"/>
  <c r="E150" i="7"/>
  <c r="L7" i="9"/>
  <c r="P7" i="9"/>
  <c r="E185" i="7"/>
  <c r="Q185" i="7" s="1"/>
  <c r="E11" i="11"/>
  <c r="E13" i="7"/>
  <c r="E12" i="7"/>
  <c r="J161" i="7"/>
  <c r="J192" i="7" s="1"/>
  <c r="Q6" i="9"/>
  <c r="P161" i="7"/>
  <c r="P192" i="7" s="1"/>
  <c r="G65" i="11"/>
  <c r="G31" i="12" s="1"/>
  <c r="G172" i="7"/>
  <c r="E120" i="7"/>
  <c r="Q118" i="7"/>
  <c r="G10" i="7"/>
  <c r="G161" i="7"/>
  <c r="G192" i="7" s="1"/>
  <c r="M7" i="9"/>
  <c r="Q38" i="7"/>
  <c r="E167" i="7"/>
  <c r="Q167" i="7" s="1"/>
  <c r="E40" i="7"/>
  <c r="O161" i="7"/>
  <c r="O192" i="7" s="1"/>
  <c r="Q98" i="7"/>
  <c r="E179" i="7"/>
  <c r="Q179" i="7" s="1"/>
  <c r="E100" i="7"/>
  <c r="F38" i="11"/>
  <c r="F20" i="12" s="1"/>
  <c r="F166" i="7"/>
  <c r="E184" i="7" l="1"/>
  <c r="Q7" i="9"/>
  <c r="E7" i="8"/>
  <c r="J7" i="8"/>
  <c r="I7" i="8"/>
  <c r="G7" i="8"/>
  <c r="H7" i="8"/>
  <c r="F7" i="8"/>
  <c r="E47" i="11"/>
  <c r="P7" i="8"/>
  <c r="O7" i="8"/>
  <c r="E52" i="7"/>
  <c r="F47" i="7" s="1"/>
  <c r="E53" i="7"/>
  <c r="N7" i="8"/>
  <c r="M7" i="8"/>
  <c r="L7" i="8"/>
  <c r="K7" i="8"/>
  <c r="E74" i="11"/>
  <c r="E82" i="7"/>
  <c r="F77" i="7" s="1"/>
  <c r="E83" i="7"/>
  <c r="E178" i="7"/>
  <c r="E92" i="11"/>
  <c r="E102" i="7"/>
  <c r="E103" i="7"/>
  <c r="E110" i="11"/>
  <c r="E122" i="7"/>
  <c r="F117" i="7" s="1"/>
  <c r="E123" i="7"/>
  <c r="F7" i="7"/>
  <c r="E13" i="11"/>
  <c r="E8" i="11"/>
  <c r="E12" i="11"/>
  <c r="E128" i="11"/>
  <c r="E143" i="7"/>
  <c r="E142" i="7"/>
  <c r="F137" i="7" s="1"/>
  <c r="E23" i="7"/>
  <c r="E20" i="11"/>
  <c r="E10" i="12" s="1"/>
  <c r="E22" i="7"/>
  <c r="F17" i="7" s="1"/>
  <c r="E65" i="11"/>
  <c r="E172" i="7"/>
  <c r="E72" i="7"/>
  <c r="E73" i="7"/>
  <c r="E38" i="11"/>
  <c r="E166" i="7"/>
  <c r="E43" i="7"/>
  <c r="E42" i="7"/>
  <c r="F160" i="7"/>
  <c r="F191" i="7" s="1"/>
  <c r="F58" i="12" s="1"/>
  <c r="F11" i="11"/>
  <c r="F10" i="12" s="1"/>
  <c r="E83" i="11"/>
  <c r="E92" i="7"/>
  <c r="F87" i="7" s="1"/>
  <c r="E93" i="7"/>
  <c r="E101" i="11"/>
  <c r="E113" i="7"/>
  <c r="E112" i="7"/>
  <c r="F107" i="7" s="1"/>
  <c r="G11" i="11"/>
  <c r="G10" i="12" s="1"/>
  <c r="G160" i="7"/>
  <c r="G191" i="7" s="1"/>
  <c r="G58" i="12" s="1"/>
  <c r="E56" i="11"/>
  <c r="E62" i="7"/>
  <c r="F57" i="7" s="1"/>
  <c r="E63" i="7"/>
  <c r="H160" i="7"/>
  <c r="H191" i="7" s="1"/>
  <c r="H58" i="12" s="1"/>
  <c r="H11" i="11"/>
  <c r="H10" i="12" s="1"/>
  <c r="E30" i="11"/>
  <c r="E31" i="11"/>
  <c r="E26" i="11"/>
  <c r="E160" i="7"/>
  <c r="G8" i="9"/>
  <c r="H8" i="9" s="1"/>
  <c r="I8" i="9" s="1"/>
  <c r="J8" i="9" s="1"/>
  <c r="K8" i="9" s="1"/>
  <c r="L8" i="9" s="1"/>
  <c r="M8" i="9" s="1"/>
  <c r="N8" i="9" s="1"/>
  <c r="O8" i="9" s="1"/>
  <c r="P8" i="9" s="1"/>
  <c r="Q8" i="9" s="1"/>
  <c r="F127" i="7"/>
  <c r="Q161" i="7"/>
  <c r="F33" i="7"/>
  <c r="F31" i="7"/>
  <c r="F32" i="7" s="1"/>
  <c r="G27" i="7" s="1"/>
  <c r="E152" i="7"/>
  <c r="F147" i="7" s="1"/>
  <c r="E137" i="11"/>
  <c r="E153" i="7"/>
  <c r="E121" i="11"/>
  <c r="E116" i="11"/>
  <c r="E120" i="11"/>
  <c r="E192" i="7"/>
  <c r="Q192" i="7" s="1"/>
  <c r="E10" i="9" l="1"/>
  <c r="O12" i="9" s="1"/>
  <c r="O9" i="10" s="1"/>
  <c r="E158" i="7"/>
  <c r="F151" i="7"/>
  <c r="F153" i="7"/>
  <c r="E84" i="11"/>
  <c r="E85" i="11"/>
  <c r="E80" i="11"/>
  <c r="F93" i="7"/>
  <c r="F91" i="7"/>
  <c r="G33" i="7"/>
  <c r="G31" i="7"/>
  <c r="J29" i="7" s="1"/>
  <c r="J30" i="7" s="1"/>
  <c r="J29" i="11" s="1"/>
  <c r="I29" i="7"/>
  <c r="F34" i="7"/>
  <c r="E94" i="11"/>
  <c r="E93" i="11"/>
  <c r="E177" i="7"/>
  <c r="E89" i="11"/>
  <c r="F123" i="7"/>
  <c r="F121" i="7"/>
  <c r="F122" i="7" s="1"/>
  <c r="G117" i="7" s="1"/>
  <c r="F131" i="7"/>
  <c r="F133" i="7"/>
  <c r="E170" i="7"/>
  <c r="F67" i="7"/>
  <c r="E107" i="11"/>
  <c r="E111" i="11"/>
  <c r="E112" i="11"/>
  <c r="E31" i="12"/>
  <c r="E53" i="12"/>
  <c r="E164" i="7"/>
  <c r="F37" i="7"/>
  <c r="E176" i="7"/>
  <c r="F97" i="7"/>
  <c r="F81" i="7"/>
  <c r="F82" i="7" s="1"/>
  <c r="G77" i="7" s="1"/>
  <c r="F83" i="7"/>
  <c r="P23" i="8"/>
  <c r="H23" i="8"/>
  <c r="H35" i="8" s="1"/>
  <c r="H36" i="8" s="1"/>
  <c r="H7" i="10" s="1"/>
  <c r="H24" i="12" s="1"/>
  <c r="H19" i="8"/>
  <c r="E71" i="11"/>
  <c r="E76" i="11"/>
  <c r="E75" i="11"/>
  <c r="E28" i="11"/>
  <c r="E27" i="11"/>
  <c r="F23" i="7"/>
  <c r="F21" i="7"/>
  <c r="F22" i="7" s="1"/>
  <c r="G17" i="7" s="1"/>
  <c r="E17" i="11"/>
  <c r="E22" i="11"/>
  <c r="E21" i="11"/>
  <c r="E11" i="12" s="1"/>
  <c r="F141" i="7"/>
  <c r="F142" i="7" s="1"/>
  <c r="G137" i="7" s="1"/>
  <c r="F143" i="7"/>
  <c r="F51" i="7"/>
  <c r="F52" i="7" s="1"/>
  <c r="G47" i="7" s="1"/>
  <c r="F53" i="7"/>
  <c r="E57" i="11"/>
  <c r="E58" i="11"/>
  <c r="E53" i="11"/>
  <c r="E159" i="7"/>
  <c r="E35" i="11"/>
  <c r="E40" i="11"/>
  <c r="E39" i="11"/>
  <c r="E165" i="7"/>
  <c r="E191" i="7"/>
  <c r="E10" i="11"/>
  <c r="E9" i="11"/>
  <c r="G23" i="8"/>
  <c r="G35" i="8" s="1"/>
  <c r="G36" i="8" s="1"/>
  <c r="G7" i="10" s="1"/>
  <c r="G24" i="12" s="1"/>
  <c r="G19" i="8"/>
  <c r="E42" i="12"/>
  <c r="E182" i="7"/>
  <c r="L23" i="8"/>
  <c r="E49" i="11"/>
  <c r="E48" i="11"/>
  <c r="E44" i="11"/>
  <c r="F111" i="7"/>
  <c r="F112" i="7" s="1"/>
  <c r="G107" i="7" s="1"/>
  <c r="F113" i="7"/>
  <c r="I23" i="8"/>
  <c r="F13" i="7"/>
  <c r="F11" i="7"/>
  <c r="F12" i="7" s="1"/>
  <c r="F30" i="11"/>
  <c r="F31" i="11"/>
  <c r="F26" i="11"/>
  <c r="E20" i="12"/>
  <c r="E62" i="11"/>
  <c r="E67" i="11"/>
  <c r="E66" i="11"/>
  <c r="E171" i="7"/>
  <c r="K23" i="8"/>
  <c r="M23" i="8"/>
  <c r="F23" i="8"/>
  <c r="F35" i="8" s="1"/>
  <c r="F36" i="8" s="1"/>
  <c r="F7" i="10" s="1"/>
  <c r="F24" i="12" s="1"/>
  <c r="F19" i="8"/>
  <c r="E98" i="11"/>
  <c r="E103" i="11"/>
  <c r="E102" i="11"/>
  <c r="J23" i="8"/>
  <c r="N23" i="8"/>
  <c r="E129" i="11"/>
  <c r="E125" i="11"/>
  <c r="E130" i="11"/>
  <c r="O23" i="8"/>
  <c r="F61" i="7"/>
  <c r="F63" i="7"/>
  <c r="E183" i="7"/>
  <c r="E117" i="11"/>
  <c r="E118" i="11"/>
  <c r="E134" i="11"/>
  <c r="E139" i="11"/>
  <c r="E138" i="11"/>
  <c r="E23" i="8"/>
  <c r="E35" i="8" s="1"/>
  <c r="E19" i="8"/>
  <c r="I22" i="4" l="1"/>
  <c r="I12" i="9"/>
  <c r="I9" i="10" s="1"/>
  <c r="P12" i="9"/>
  <c r="P9" i="10" s="1"/>
  <c r="E12" i="9"/>
  <c r="E9" i="10" s="1"/>
  <c r="G12" i="9"/>
  <c r="G9" i="10" s="1"/>
  <c r="L12" i="9"/>
  <c r="L9" i="10" s="1"/>
  <c r="M12" i="9"/>
  <c r="M9" i="10" s="1"/>
  <c r="N12" i="9"/>
  <c r="N9" i="10" s="1"/>
  <c r="F12" i="9"/>
  <c r="F9" i="10" s="1"/>
  <c r="J12" i="9"/>
  <c r="J9" i="10" s="1"/>
  <c r="K12" i="9"/>
  <c r="K9" i="10" s="1"/>
  <c r="H12" i="9"/>
  <c r="H9" i="10" s="1"/>
  <c r="G34" i="7"/>
  <c r="E55" i="12"/>
  <c r="E189" i="7"/>
  <c r="E28" i="13" s="1"/>
  <c r="G32" i="7"/>
  <c r="H27" i="7" s="1"/>
  <c r="H33" i="7" s="1"/>
  <c r="E54" i="12"/>
  <c r="G143" i="7"/>
  <c r="G141" i="7"/>
  <c r="J139" i="7" s="1"/>
  <c r="J140" i="7" s="1"/>
  <c r="J128" i="11" s="1"/>
  <c r="E44" i="12"/>
  <c r="G21" i="7"/>
  <c r="J19" i="7" s="1"/>
  <c r="J20" i="7" s="1"/>
  <c r="J20" i="11" s="1"/>
  <c r="G23" i="7"/>
  <c r="G81" i="7"/>
  <c r="J79" i="7" s="1"/>
  <c r="J80" i="7" s="1"/>
  <c r="J74" i="11" s="1"/>
  <c r="G83" i="7"/>
  <c r="E32" i="12"/>
  <c r="I19" i="7"/>
  <c r="F24" i="7"/>
  <c r="E33" i="12"/>
  <c r="F22" i="11"/>
  <c r="F17" i="11"/>
  <c r="F21" i="11"/>
  <c r="F103" i="7"/>
  <c r="F101" i="7"/>
  <c r="F102" i="7" s="1"/>
  <c r="I79" i="7"/>
  <c r="F84" i="7"/>
  <c r="E63" i="11"/>
  <c r="E64" i="11"/>
  <c r="E28" i="12"/>
  <c r="F41" i="7"/>
  <c r="F43" i="7"/>
  <c r="E136" i="11"/>
  <c r="E135" i="11"/>
  <c r="G7" i="7"/>
  <c r="F158" i="7"/>
  <c r="I89" i="7"/>
  <c r="F94" i="7"/>
  <c r="E190" i="7"/>
  <c r="E56" i="12" s="1"/>
  <c r="F186" i="7"/>
  <c r="I129" i="7"/>
  <c r="F134" i="7"/>
  <c r="E43" i="12"/>
  <c r="I59" i="7"/>
  <c r="F64" i="7"/>
  <c r="F71" i="7"/>
  <c r="F72" i="7" s="1"/>
  <c r="F73" i="7"/>
  <c r="G26" i="11"/>
  <c r="G31" i="11"/>
  <c r="G30" i="11"/>
  <c r="F75" i="11"/>
  <c r="F71" i="11"/>
  <c r="F76" i="11"/>
  <c r="F28" i="11"/>
  <c r="F27" i="11"/>
  <c r="I30" i="7"/>
  <c r="F92" i="7"/>
  <c r="G87" i="7" s="1"/>
  <c r="E81" i="11"/>
  <c r="E82" i="11"/>
  <c r="F44" i="11"/>
  <c r="F48" i="11"/>
  <c r="F49" i="11"/>
  <c r="I119" i="7"/>
  <c r="F124" i="7"/>
  <c r="E18" i="11"/>
  <c r="E19" i="11"/>
  <c r="E9" i="12" s="1"/>
  <c r="E7" i="12"/>
  <c r="F62" i="7"/>
  <c r="G57" i="7" s="1"/>
  <c r="F14" i="7"/>
  <c r="F162" i="7"/>
  <c r="I9" i="7"/>
  <c r="E72" i="11"/>
  <c r="E73" i="11"/>
  <c r="F13" i="11"/>
  <c r="F159" i="7"/>
  <c r="F8" i="11"/>
  <c r="F12" i="11"/>
  <c r="E21" i="12"/>
  <c r="G111" i="7"/>
  <c r="J109" i="7" s="1"/>
  <c r="J110" i="7" s="1"/>
  <c r="J101" i="11" s="1"/>
  <c r="G113" i="7"/>
  <c r="F121" i="11"/>
  <c r="F116" i="11"/>
  <c r="F183" i="7"/>
  <c r="F120" i="11"/>
  <c r="E55" i="11"/>
  <c r="E54" i="11"/>
  <c r="I109" i="7"/>
  <c r="F114" i="7"/>
  <c r="G53" i="7"/>
  <c r="G51" i="7"/>
  <c r="J49" i="7" s="1"/>
  <c r="J50" i="7" s="1"/>
  <c r="F107" i="11"/>
  <c r="F111" i="11"/>
  <c r="F112" i="11"/>
  <c r="E58" i="12"/>
  <c r="I49" i="7"/>
  <c r="F54" i="7"/>
  <c r="F139" i="11"/>
  <c r="F138" i="11"/>
  <c r="F134" i="11"/>
  <c r="E50" i="12"/>
  <c r="E127" i="11"/>
  <c r="E126" i="11"/>
  <c r="E22" i="12"/>
  <c r="E17" i="12"/>
  <c r="E37" i="11"/>
  <c r="E36" i="11"/>
  <c r="F84" i="11"/>
  <c r="F85" i="11"/>
  <c r="F80" i="11"/>
  <c r="E12" i="12"/>
  <c r="E46" i="11"/>
  <c r="E45" i="11"/>
  <c r="E36" i="8"/>
  <c r="F129" i="11"/>
  <c r="F130" i="11"/>
  <c r="F125" i="11"/>
  <c r="E91" i="11"/>
  <c r="E39" i="12"/>
  <c r="E90" i="11"/>
  <c r="I149" i="7"/>
  <c r="F154" i="7"/>
  <c r="F98" i="11"/>
  <c r="F103" i="11"/>
  <c r="F102" i="11"/>
  <c r="F132" i="7"/>
  <c r="E99" i="11"/>
  <c r="E100" i="11"/>
  <c r="F152" i="7"/>
  <c r="G147" i="7" s="1"/>
  <c r="F58" i="11"/>
  <c r="F57" i="11"/>
  <c r="F53" i="11"/>
  <c r="E108" i="11"/>
  <c r="E109" i="11"/>
  <c r="G123" i="7"/>
  <c r="G121" i="7"/>
  <c r="J119" i="7" s="1"/>
  <c r="J120" i="7" s="1"/>
  <c r="J110" i="11" s="1"/>
  <c r="I139" i="7"/>
  <c r="F144" i="7"/>
  <c r="Q12" i="9" l="1"/>
  <c r="H31" i="7"/>
  <c r="H32" i="7" s="1"/>
  <c r="I27" i="7" s="1"/>
  <c r="I33" i="7" s="1"/>
  <c r="G54" i="7"/>
  <c r="G144" i="7"/>
  <c r="G114" i="7"/>
  <c r="G122" i="7"/>
  <c r="H117" i="7" s="1"/>
  <c r="H123" i="7" s="1"/>
  <c r="E45" i="12"/>
  <c r="E51" i="12"/>
  <c r="E52" i="12"/>
  <c r="F176" i="7"/>
  <c r="G97" i="7"/>
  <c r="I110" i="7"/>
  <c r="F45" i="11"/>
  <c r="F46" i="11"/>
  <c r="F82" i="11"/>
  <c r="F81" i="11"/>
  <c r="I20" i="7"/>
  <c r="I10" i="7"/>
  <c r="G84" i="7"/>
  <c r="E7" i="10"/>
  <c r="F99" i="11"/>
  <c r="F100" i="11"/>
  <c r="F54" i="12"/>
  <c r="E34" i="12"/>
  <c r="G63" i="7"/>
  <c r="G61" i="7"/>
  <c r="G62" i="7" s="1"/>
  <c r="H57" i="7" s="1"/>
  <c r="F18" i="11"/>
  <c r="F19" i="11"/>
  <c r="E30" i="12"/>
  <c r="E19" i="12"/>
  <c r="G17" i="11"/>
  <c r="G21" i="11"/>
  <c r="G22" i="11"/>
  <c r="Q9" i="10"/>
  <c r="E10" i="10"/>
  <c r="F182" i="7"/>
  <c r="G127" i="7"/>
  <c r="G103" i="11"/>
  <c r="G102" i="11"/>
  <c r="G98" i="11"/>
  <c r="G91" i="7"/>
  <c r="G92" i="7" s="1"/>
  <c r="H87" i="7" s="1"/>
  <c r="G93" i="7"/>
  <c r="E18" i="12"/>
  <c r="G52" i="7"/>
  <c r="H47" i="7" s="1"/>
  <c r="G125" i="11"/>
  <c r="G129" i="11"/>
  <c r="G130" i="11"/>
  <c r="E29" i="13"/>
  <c r="I60" i="7"/>
  <c r="I29" i="11"/>
  <c r="I90" i="7"/>
  <c r="I140" i="7"/>
  <c r="F55" i="12"/>
  <c r="G13" i="7"/>
  <c r="G11" i="7"/>
  <c r="F180" i="7"/>
  <c r="I99" i="7"/>
  <c r="F104" i="7"/>
  <c r="F11" i="12"/>
  <c r="N12" i="8"/>
  <c r="N28" i="8" s="1"/>
  <c r="M12" i="8"/>
  <c r="M28" i="8" s="1"/>
  <c r="L12" i="8"/>
  <c r="L28" i="8" s="1"/>
  <c r="J12" i="8"/>
  <c r="J28" i="8" s="1"/>
  <c r="J47" i="11"/>
  <c r="P12" i="8"/>
  <c r="P28" i="8" s="1"/>
  <c r="O12" i="8"/>
  <c r="O28" i="8" s="1"/>
  <c r="K12" i="8"/>
  <c r="K28" i="8" s="1"/>
  <c r="G49" i="11"/>
  <c r="G48" i="11"/>
  <c r="G44" i="11"/>
  <c r="F12" i="12"/>
  <c r="G142" i="7"/>
  <c r="H137" i="7" s="1"/>
  <c r="E29" i="12"/>
  <c r="E23" i="12"/>
  <c r="I50" i="7"/>
  <c r="G22" i="7"/>
  <c r="H17" i="7" s="1"/>
  <c r="F168" i="7"/>
  <c r="I39" i="7"/>
  <c r="F44" i="7"/>
  <c r="E40" i="12"/>
  <c r="F10" i="11"/>
  <c r="F9" i="11"/>
  <c r="F7" i="12"/>
  <c r="G27" i="11"/>
  <c r="G28" i="11"/>
  <c r="F55" i="11"/>
  <c r="F54" i="11"/>
  <c r="G124" i="7"/>
  <c r="I120" i="7"/>
  <c r="G71" i="11"/>
  <c r="G76" i="11"/>
  <c r="G75" i="11"/>
  <c r="G82" i="7"/>
  <c r="H77" i="7" s="1"/>
  <c r="F72" i="11"/>
  <c r="F73" i="11"/>
  <c r="F89" i="11"/>
  <c r="F93" i="11"/>
  <c r="F94" i="11"/>
  <c r="F177" i="7"/>
  <c r="F35" i="11"/>
  <c r="F39" i="11"/>
  <c r="F40" i="11"/>
  <c r="F165" i="7"/>
  <c r="I150" i="7"/>
  <c r="F127" i="11"/>
  <c r="F126" i="11"/>
  <c r="F170" i="7"/>
  <c r="G67" i="7"/>
  <c r="I130" i="7"/>
  <c r="E8" i="12"/>
  <c r="G24" i="7"/>
  <c r="I80" i="7"/>
  <c r="F50" i="12"/>
  <c r="F117" i="11"/>
  <c r="F118" i="11"/>
  <c r="G111" i="11"/>
  <c r="G107" i="11"/>
  <c r="G112" i="11"/>
  <c r="H30" i="11"/>
  <c r="H31" i="11"/>
  <c r="H26" i="11"/>
  <c r="F67" i="11"/>
  <c r="F66" i="11"/>
  <c r="F62" i="11"/>
  <c r="F171" i="7"/>
  <c r="G112" i="7"/>
  <c r="H107" i="7" s="1"/>
  <c r="F108" i="11"/>
  <c r="F109" i="11"/>
  <c r="F42" i="7"/>
  <c r="E41" i="12"/>
  <c r="G153" i="7"/>
  <c r="G151" i="7"/>
  <c r="G152" i="7" s="1"/>
  <c r="H147" i="7" s="1"/>
  <c r="F136" i="11"/>
  <c r="F135" i="11"/>
  <c r="F174" i="7"/>
  <c r="I69" i="7"/>
  <c r="F74" i="7"/>
  <c r="E13" i="12"/>
  <c r="H121" i="7" l="1"/>
  <c r="H122" i="7" s="1"/>
  <c r="I117" i="7" s="1"/>
  <c r="I123" i="7" s="1"/>
  <c r="I31" i="7"/>
  <c r="I32" i="7" s="1"/>
  <c r="J27" i="7" s="1"/>
  <c r="J33" i="7" s="1"/>
  <c r="K29" i="7"/>
  <c r="K30" i="7" s="1"/>
  <c r="H34" i="7"/>
  <c r="E14" i="12"/>
  <c r="E9" i="13" s="1"/>
  <c r="E59" i="12"/>
  <c r="E13" i="13" s="1"/>
  <c r="F190" i="7"/>
  <c r="F29" i="13" s="1"/>
  <c r="H63" i="7"/>
  <c r="H61" i="7"/>
  <c r="K59" i="7" s="1"/>
  <c r="K60" i="7" s="1"/>
  <c r="K56" i="11" s="1"/>
  <c r="G12" i="11"/>
  <c r="G13" i="11"/>
  <c r="G159" i="7"/>
  <c r="G8" i="11"/>
  <c r="G53" i="11"/>
  <c r="G58" i="11"/>
  <c r="G57" i="11"/>
  <c r="F52" i="12"/>
  <c r="J149" i="7"/>
  <c r="G154" i="7"/>
  <c r="F91" i="11"/>
  <c r="F39" i="12"/>
  <c r="F90" i="11"/>
  <c r="J89" i="7"/>
  <c r="J90" i="7" s="1"/>
  <c r="J83" i="11" s="1"/>
  <c r="G94" i="7"/>
  <c r="G84" i="11"/>
  <c r="G80" i="11"/>
  <c r="G85" i="11"/>
  <c r="H111" i="7"/>
  <c r="H112" i="7" s="1"/>
  <c r="I107" i="7" s="1"/>
  <c r="H113" i="7"/>
  <c r="I83" i="11"/>
  <c r="G46" i="11"/>
  <c r="G45" i="11"/>
  <c r="I74" i="11"/>
  <c r="H91" i="7"/>
  <c r="K89" i="7" s="1"/>
  <c r="K90" i="7" s="1"/>
  <c r="K83" i="11" s="1"/>
  <c r="H93" i="7"/>
  <c r="G73" i="7"/>
  <c r="G71" i="7"/>
  <c r="G72" i="7" s="1"/>
  <c r="G99" i="11"/>
  <c r="G100" i="11"/>
  <c r="F9" i="12"/>
  <c r="F193" i="7"/>
  <c r="I100" i="7"/>
  <c r="G109" i="11"/>
  <c r="G108" i="11"/>
  <c r="F33" i="12"/>
  <c r="F51" i="12"/>
  <c r="G162" i="7"/>
  <c r="J9" i="7"/>
  <c r="G14" i="7"/>
  <c r="G101" i="7"/>
  <c r="G103" i="7"/>
  <c r="I119" i="11"/>
  <c r="I184" i="7"/>
  <c r="H81" i="7"/>
  <c r="H82" i="7" s="1"/>
  <c r="I77" i="7" s="1"/>
  <c r="H83" i="7"/>
  <c r="I56" i="11"/>
  <c r="E24" i="12"/>
  <c r="E25" i="12" s="1"/>
  <c r="E12" i="10"/>
  <c r="I11" i="11"/>
  <c r="I160" i="7"/>
  <c r="F37" i="11"/>
  <c r="F36" i="11"/>
  <c r="F17" i="12"/>
  <c r="G139" i="11"/>
  <c r="G138" i="11"/>
  <c r="G134" i="11"/>
  <c r="I128" i="11"/>
  <c r="E36" i="12"/>
  <c r="G131" i="7"/>
  <c r="G132" i="7" s="1"/>
  <c r="G133" i="7"/>
  <c r="H27" i="11"/>
  <c r="H28" i="11"/>
  <c r="I26" i="11"/>
  <c r="I31" i="11"/>
  <c r="I30" i="11"/>
  <c r="H111" i="11"/>
  <c r="H107" i="11"/>
  <c r="H112" i="11"/>
  <c r="I101" i="11"/>
  <c r="F32" i="12"/>
  <c r="I70" i="7"/>
  <c r="H21" i="7"/>
  <c r="H23" i="7"/>
  <c r="G18" i="11"/>
  <c r="G19" i="11"/>
  <c r="I20" i="11"/>
  <c r="H153" i="7"/>
  <c r="H151" i="7"/>
  <c r="K149" i="7" s="1"/>
  <c r="K150" i="7" s="1"/>
  <c r="K137" i="11" s="1"/>
  <c r="F21" i="12"/>
  <c r="F44" i="12"/>
  <c r="L11" i="8"/>
  <c r="J11" i="8"/>
  <c r="I47" i="11"/>
  <c r="N11" i="8"/>
  <c r="M11" i="8"/>
  <c r="K11" i="8"/>
  <c r="I11" i="8"/>
  <c r="P11" i="8"/>
  <c r="O11" i="8"/>
  <c r="G127" i="11"/>
  <c r="G126" i="11"/>
  <c r="H51" i="7"/>
  <c r="H52" i="7" s="1"/>
  <c r="I47" i="7" s="1"/>
  <c r="H53" i="7"/>
  <c r="F22" i="12"/>
  <c r="F8" i="12"/>
  <c r="H143" i="7"/>
  <c r="H141" i="7"/>
  <c r="J59" i="7"/>
  <c r="G64" i="7"/>
  <c r="F164" i="7"/>
  <c r="F189" i="7" s="1"/>
  <c r="F28" i="13" s="1"/>
  <c r="G37" i="7"/>
  <c r="G12" i="7"/>
  <c r="F43" i="12"/>
  <c r="G72" i="11"/>
  <c r="G73" i="11"/>
  <c r="I40" i="7"/>
  <c r="I110" i="11"/>
  <c r="E16" i="13"/>
  <c r="F63" i="11"/>
  <c r="F28" i="12"/>
  <c r="F64" i="11"/>
  <c r="I137" i="11"/>
  <c r="H94" i="7" l="1"/>
  <c r="K119" i="7"/>
  <c r="K120" i="7" s="1"/>
  <c r="I121" i="7"/>
  <c r="I124" i="7" s="1"/>
  <c r="H124" i="7"/>
  <c r="L29" i="7"/>
  <c r="L30" i="7" s="1"/>
  <c r="L29" i="11" s="1"/>
  <c r="I34" i="7"/>
  <c r="J31" i="7"/>
  <c r="J32" i="7" s="1"/>
  <c r="K27" i="7" s="1"/>
  <c r="K31" i="7" s="1"/>
  <c r="N29" i="7" s="1"/>
  <c r="N30" i="7" s="1"/>
  <c r="N29" i="11" s="1"/>
  <c r="H64" i="7"/>
  <c r="F45" i="12"/>
  <c r="F56" i="12"/>
  <c r="F59" i="12" s="1"/>
  <c r="F13" i="13" s="1"/>
  <c r="F23" i="12"/>
  <c r="F34" i="12"/>
  <c r="F13" i="12"/>
  <c r="F14" i="12" s="1"/>
  <c r="F9" i="13" s="1"/>
  <c r="I53" i="7"/>
  <c r="I51" i="7"/>
  <c r="L49" i="7" s="1"/>
  <c r="L50" i="7" s="1"/>
  <c r="I113" i="7"/>
  <c r="I111" i="7"/>
  <c r="L109" i="7" s="1"/>
  <c r="L110" i="7" s="1"/>
  <c r="L101" i="11" s="1"/>
  <c r="G170" i="7"/>
  <c r="H67" i="7"/>
  <c r="E10" i="13"/>
  <c r="F40" i="12"/>
  <c r="G11" i="12"/>
  <c r="K79" i="7"/>
  <c r="K80" i="7" s="1"/>
  <c r="H84" i="7"/>
  <c r="H92" i="7"/>
  <c r="I87" i="7" s="1"/>
  <c r="F29" i="12"/>
  <c r="H21" i="11"/>
  <c r="H17" i="11"/>
  <c r="H22" i="11"/>
  <c r="H84" i="11"/>
  <c r="H85" i="11"/>
  <c r="H80" i="11"/>
  <c r="G182" i="7"/>
  <c r="H127" i="7"/>
  <c r="H129" i="11"/>
  <c r="H130" i="11"/>
  <c r="H125" i="11"/>
  <c r="I81" i="7"/>
  <c r="L79" i="7" s="1"/>
  <c r="L80" i="7" s="1"/>
  <c r="L74" i="11" s="1"/>
  <c r="I83" i="7"/>
  <c r="I38" i="11"/>
  <c r="I166" i="7"/>
  <c r="F19" i="12"/>
  <c r="K139" i="7"/>
  <c r="H144" i="7"/>
  <c r="G67" i="11"/>
  <c r="G66" i="11"/>
  <c r="G62" i="11"/>
  <c r="G171" i="7"/>
  <c r="G55" i="11"/>
  <c r="G54" i="11"/>
  <c r="H139" i="11"/>
  <c r="H138" i="11"/>
  <c r="H134" i="11"/>
  <c r="G186" i="7"/>
  <c r="J129" i="7"/>
  <c r="G134" i="7"/>
  <c r="K19" i="7"/>
  <c r="K20" i="7" s="1"/>
  <c r="H24" i="7"/>
  <c r="F41" i="12"/>
  <c r="H22" i="7"/>
  <c r="I17" i="7" s="1"/>
  <c r="H154" i="7"/>
  <c r="P27" i="8"/>
  <c r="H58" i="11"/>
  <c r="H57" i="11"/>
  <c r="H53" i="11"/>
  <c r="H142" i="7"/>
  <c r="I137" i="7" s="1"/>
  <c r="F30" i="12"/>
  <c r="H44" i="11"/>
  <c r="H48" i="11"/>
  <c r="H49" i="11"/>
  <c r="H62" i="7"/>
  <c r="I57" i="7" s="1"/>
  <c r="G7" i="12"/>
  <c r="G10" i="11"/>
  <c r="G9" i="11"/>
  <c r="K109" i="7"/>
  <c r="H114" i="7"/>
  <c r="G81" i="11"/>
  <c r="G82" i="11"/>
  <c r="J150" i="7"/>
  <c r="G116" i="11"/>
  <c r="G121" i="11"/>
  <c r="G183" i="7"/>
  <c r="G120" i="11"/>
  <c r="H152" i="7"/>
  <c r="I147" i="7" s="1"/>
  <c r="J60" i="7"/>
  <c r="H76" i="11"/>
  <c r="H71" i="11"/>
  <c r="H75" i="11"/>
  <c r="I53" i="12"/>
  <c r="G180" i="7"/>
  <c r="J99" i="7"/>
  <c r="G104" i="7"/>
  <c r="G174" i="7"/>
  <c r="J69" i="7"/>
  <c r="G74" i="7"/>
  <c r="G12" i="12"/>
  <c r="K49" i="7"/>
  <c r="H54" i="7"/>
  <c r="G102" i="7"/>
  <c r="K27" i="8"/>
  <c r="G41" i="7"/>
  <c r="G42" i="7" s="1"/>
  <c r="G43" i="7"/>
  <c r="M27" i="8"/>
  <c r="F18" i="12"/>
  <c r="I27" i="8"/>
  <c r="I35" i="8" s="1"/>
  <c r="I19" i="8"/>
  <c r="G158" i="7"/>
  <c r="H7" i="7"/>
  <c r="I111" i="11"/>
  <c r="I107" i="11"/>
  <c r="I112" i="11"/>
  <c r="E11" i="13"/>
  <c r="I65" i="11"/>
  <c r="I172" i="7"/>
  <c r="G94" i="11"/>
  <c r="G89" i="11"/>
  <c r="G93" i="11"/>
  <c r="G177" i="7"/>
  <c r="J10" i="7"/>
  <c r="K29" i="11"/>
  <c r="J31" i="11"/>
  <c r="J26" i="11"/>
  <c r="J30" i="11"/>
  <c r="I178" i="7"/>
  <c r="I92" i="11"/>
  <c r="J27" i="8"/>
  <c r="J35" i="8" s="1"/>
  <c r="J36" i="8" s="1"/>
  <c r="J7" i="10" s="1"/>
  <c r="J24" i="12" s="1"/>
  <c r="J19" i="8"/>
  <c r="L27" i="8"/>
  <c r="I28" i="11"/>
  <c r="I27" i="11"/>
  <c r="G136" i="11"/>
  <c r="G135" i="11"/>
  <c r="O27" i="8"/>
  <c r="H98" i="11"/>
  <c r="H103" i="11"/>
  <c r="H102" i="11"/>
  <c r="I10" i="12"/>
  <c r="H109" i="11"/>
  <c r="H108" i="11"/>
  <c r="N27" i="8"/>
  <c r="F6" i="10"/>
  <c r="E14" i="10"/>
  <c r="K33" i="7" l="1"/>
  <c r="K30" i="11" s="1"/>
  <c r="J34" i="7"/>
  <c r="M29" i="7"/>
  <c r="M30" i="7" s="1"/>
  <c r="M29" i="11" s="1"/>
  <c r="L119" i="7"/>
  <c r="L120" i="7" s="1"/>
  <c r="L110" i="11" s="1"/>
  <c r="I122" i="7"/>
  <c r="J117" i="7" s="1"/>
  <c r="J121" i="7" s="1"/>
  <c r="J122" i="7" s="1"/>
  <c r="K117" i="7" s="1"/>
  <c r="I54" i="7"/>
  <c r="F25" i="12"/>
  <c r="F10" i="13" s="1"/>
  <c r="I114" i="7"/>
  <c r="I82" i="7"/>
  <c r="J77" i="7" s="1"/>
  <c r="J81" i="7" s="1"/>
  <c r="K32" i="7"/>
  <c r="L27" i="7" s="1"/>
  <c r="L33" i="7" s="1"/>
  <c r="K34" i="7"/>
  <c r="G55" i="12"/>
  <c r="J137" i="11"/>
  <c r="H127" i="11"/>
  <c r="H126" i="11"/>
  <c r="H46" i="11"/>
  <c r="H45" i="11"/>
  <c r="H99" i="11"/>
  <c r="H100" i="11"/>
  <c r="G176" i="7"/>
  <c r="H97" i="7"/>
  <c r="K110" i="11"/>
  <c r="I109" i="11"/>
  <c r="I108" i="11"/>
  <c r="J28" i="11"/>
  <c r="J27" i="11"/>
  <c r="H131" i="7"/>
  <c r="H132" i="7" s="1"/>
  <c r="H133" i="7"/>
  <c r="F36" i="12"/>
  <c r="I71" i="11"/>
  <c r="I75" i="11"/>
  <c r="I76" i="11"/>
  <c r="G33" i="12"/>
  <c r="G117" i="11"/>
  <c r="G118" i="11"/>
  <c r="G50" i="12"/>
  <c r="I23" i="7"/>
  <c r="I21" i="7"/>
  <c r="I22" i="7" s="1"/>
  <c r="J17" i="7" s="1"/>
  <c r="I143" i="7"/>
  <c r="I141" i="7"/>
  <c r="I142" i="7" s="1"/>
  <c r="J137" i="7" s="1"/>
  <c r="I42" i="12"/>
  <c r="H71" i="7"/>
  <c r="H72" i="7" s="1"/>
  <c r="H73" i="7"/>
  <c r="J100" i="7"/>
  <c r="K20" i="11"/>
  <c r="I31" i="12"/>
  <c r="H81" i="11"/>
  <c r="H82" i="11"/>
  <c r="I36" i="8"/>
  <c r="I91" i="7"/>
  <c r="I92" i="7" s="1"/>
  <c r="J87" i="7" s="1"/>
  <c r="I93" i="7"/>
  <c r="I103" i="11"/>
  <c r="I102" i="11"/>
  <c r="I98" i="11"/>
  <c r="G32" i="12"/>
  <c r="K110" i="7"/>
  <c r="I112" i="7"/>
  <c r="J107" i="7" s="1"/>
  <c r="G63" i="11"/>
  <c r="G28" i="12"/>
  <c r="G64" i="11"/>
  <c r="J56" i="11"/>
  <c r="I153" i="7"/>
  <c r="I151" i="7"/>
  <c r="I152" i="7" s="1"/>
  <c r="J147" i="7" s="1"/>
  <c r="K140" i="7"/>
  <c r="I63" i="7"/>
  <c r="I61" i="7"/>
  <c r="I62" i="7" s="1"/>
  <c r="J57" i="7" s="1"/>
  <c r="J130" i="7"/>
  <c r="I52" i="7"/>
  <c r="J47" i="7" s="1"/>
  <c r="G8" i="12"/>
  <c r="L47" i="11"/>
  <c r="P14" i="8"/>
  <c r="P30" i="8" s="1"/>
  <c r="O14" i="8"/>
  <c r="O30" i="8" s="1"/>
  <c r="L14" i="8"/>
  <c r="L30" i="8" s="1"/>
  <c r="N14" i="8"/>
  <c r="N30" i="8" s="1"/>
  <c r="M14" i="8"/>
  <c r="M30" i="8" s="1"/>
  <c r="H13" i="7"/>
  <c r="H11" i="7"/>
  <c r="H55" i="11"/>
  <c r="H54" i="11"/>
  <c r="H18" i="11"/>
  <c r="H19" i="11"/>
  <c r="J70" i="7"/>
  <c r="F16" i="13"/>
  <c r="G43" i="12"/>
  <c r="G39" i="11"/>
  <c r="G35" i="11"/>
  <c r="G40" i="11"/>
  <c r="G165" i="7"/>
  <c r="H136" i="11"/>
  <c r="H135" i="11"/>
  <c r="I48" i="11"/>
  <c r="I44" i="11"/>
  <c r="I49" i="11"/>
  <c r="H72" i="11"/>
  <c r="H73" i="11"/>
  <c r="J160" i="7"/>
  <c r="J11" i="11"/>
  <c r="G39" i="12"/>
  <c r="G91" i="11"/>
  <c r="G90" i="11"/>
  <c r="G164" i="7"/>
  <c r="H37" i="7"/>
  <c r="G54" i="12"/>
  <c r="K74" i="11"/>
  <c r="I191" i="7"/>
  <c r="E12" i="13"/>
  <c r="K50" i="7"/>
  <c r="E46" i="12"/>
  <c r="E6" i="13"/>
  <c r="F11" i="10"/>
  <c r="F8" i="10"/>
  <c r="G9" i="12"/>
  <c r="G44" i="12"/>
  <c r="G168" i="7"/>
  <c r="J39" i="7"/>
  <c r="G44" i="7"/>
  <c r="I20" i="12"/>
  <c r="I84" i="7"/>
  <c r="K26" i="11" l="1"/>
  <c r="K27" i="11" s="1"/>
  <c r="K31" i="11"/>
  <c r="J83" i="7"/>
  <c r="J71" i="11" s="1"/>
  <c r="J123" i="7"/>
  <c r="J112" i="11" s="1"/>
  <c r="L31" i="7"/>
  <c r="L32" i="7" s="1"/>
  <c r="M27" i="7" s="1"/>
  <c r="M31" i="7" s="1"/>
  <c r="G189" i="7"/>
  <c r="G28" i="13" s="1"/>
  <c r="J63" i="7"/>
  <c r="J61" i="7"/>
  <c r="M59" i="7" s="1"/>
  <c r="M60" i="7" s="1"/>
  <c r="M56" i="11" s="1"/>
  <c r="J23" i="7"/>
  <c r="J21" i="7"/>
  <c r="M19" i="7" s="1"/>
  <c r="M20" i="7" s="1"/>
  <c r="M20" i="11" s="1"/>
  <c r="E47" i="12"/>
  <c r="M79" i="7"/>
  <c r="M80" i="7" s="1"/>
  <c r="J84" i="7"/>
  <c r="J82" i="7"/>
  <c r="K77" i="7" s="1"/>
  <c r="I21" i="11"/>
  <c r="I17" i="11"/>
  <c r="I22" i="11"/>
  <c r="M119" i="7"/>
  <c r="J124" i="7"/>
  <c r="K123" i="7"/>
  <c r="K121" i="7"/>
  <c r="N119" i="7" s="1"/>
  <c r="N120" i="7" s="1"/>
  <c r="N110" i="11" s="1"/>
  <c r="I138" i="11"/>
  <c r="I139" i="11"/>
  <c r="I134" i="11"/>
  <c r="E22" i="13"/>
  <c r="E14" i="13"/>
  <c r="H162" i="7"/>
  <c r="K9" i="7"/>
  <c r="H14" i="7"/>
  <c r="L19" i="7"/>
  <c r="L20" i="7" s="1"/>
  <c r="I24" i="7"/>
  <c r="I46" i="11"/>
  <c r="I45" i="11"/>
  <c r="G51" i="12"/>
  <c r="I80" i="11"/>
  <c r="I84" i="11"/>
  <c r="I85" i="11"/>
  <c r="L149" i="7"/>
  <c r="I154" i="7"/>
  <c r="G52" i="12"/>
  <c r="H67" i="11"/>
  <c r="H66" i="11"/>
  <c r="H171" i="7"/>
  <c r="H62" i="11"/>
  <c r="H101" i="7"/>
  <c r="H103" i="7"/>
  <c r="G30" i="12"/>
  <c r="J93" i="7"/>
  <c r="J91" i="7"/>
  <c r="M89" i="7" s="1"/>
  <c r="M90" i="7" s="1"/>
  <c r="M83" i="11" s="1"/>
  <c r="J153" i="7"/>
  <c r="J151" i="7"/>
  <c r="M149" i="7" s="1"/>
  <c r="M150" i="7" s="1"/>
  <c r="M137" i="11" s="1"/>
  <c r="G190" i="7"/>
  <c r="G23" i="12" s="1"/>
  <c r="H41" i="7"/>
  <c r="H42" i="7" s="1"/>
  <c r="H43" i="7"/>
  <c r="J172" i="7"/>
  <c r="J65" i="11"/>
  <c r="H186" i="7"/>
  <c r="K129" i="7"/>
  <c r="H134" i="7"/>
  <c r="I7" i="10"/>
  <c r="N13" i="8"/>
  <c r="P13" i="8"/>
  <c r="O13" i="8"/>
  <c r="M13" i="8"/>
  <c r="K13" i="8"/>
  <c r="K47" i="11"/>
  <c r="L13" i="8"/>
  <c r="G22" i="12"/>
  <c r="G17" i="12"/>
  <c r="G36" i="11"/>
  <c r="G37" i="11"/>
  <c r="G21" i="12"/>
  <c r="J51" i="7"/>
  <c r="J53" i="7"/>
  <c r="K101" i="11"/>
  <c r="J119" i="11"/>
  <c r="J184" i="7"/>
  <c r="G40" i="12"/>
  <c r="I58" i="11"/>
  <c r="I57" i="11"/>
  <c r="I53" i="11"/>
  <c r="F10" i="10"/>
  <c r="E21" i="13"/>
  <c r="E25" i="13"/>
  <c r="E23" i="13"/>
  <c r="G29" i="12"/>
  <c r="I58" i="12"/>
  <c r="J92" i="11"/>
  <c r="J178" i="7"/>
  <c r="J111" i="7"/>
  <c r="J112" i="7" s="1"/>
  <c r="K107" i="7" s="1"/>
  <c r="J113" i="7"/>
  <c r="H174" i="7"/>
  <c r="K69" i="7"/>
  <c r="H74" i="7"/>
  <c r="H182" i="7"/>
  <c r="I127" i="7"/>
  <c r="L139" i="7"/>
  <c r="I144" i="7"/>
  <c r="I72" i="11"/>
  <c r="I73" i="11"/>
  <c r="F11" i="13"/>
  <c r="G193" i="7"/>
  <c r="G41" i="12"/>
  <c r="I125" i="11"/>
  <c r="I129" i="11"/>
  <c r="I130" i="11"/>
  <c r="L89" i="7"/>
  <c r="L90" i="7" s="1"/>
  <c r="I94" i="7"/>
  <c r="H170" i="7"/>
  <c r="I67" i="7"/>
  <c r="H121" i="11"/>
  <c r="H120" i="11"/>
  <c r="H183" i="7"/>
  <c r="H116" i="11"/>
  <c r="L59" i="7"/>
  <c r="I64" i="7"/>
  <c r="L31" i="11"/>
  <c r="L26" i="11"/>
  <c r="L30" i="11"/>
  <c r="I99" i="11"/>
  <c r="I100" i="11"/>
  <c r="K128" i="11"/>
  <c r="J143" i="7"/>
  <c r="J141" i="7"/>
  <c r="M139" i="7" s="1"/>
  <c r="M140" i="7" s="1"/>
  <c r="M128" i="11" s="1"/>
  <c r="H13" i="11"/>
  <c r="H12" i="11"/>
  <c r="H8" i="11"/>
  <c r="H159" i="7"/>
  <c r="H12" i="7"/>
  <c r="J40" i="7"/>
  <c r="J10" i="12"/>
  <c r="K28" i="11" l="1"/>
  <c r="J107" i="11"/>
  <c r="J109" i="11" s="1"/>
  <c r="J111" i="11"/>
  <c r="J75" i="11"/>
  <c r="J76" i="11"/>
  <c r="M33" i="7"/>
  <c r="M31" i="11" s="1"/>
  <c r="O29" i="7"/>
  <c r="O30" i="7" s="1"/>
  <c r="O29" i="11" s="1"/>
  <c r="L34" i="7"/>
  <c r="J24" i="7"/>
  <c r="J64" i="7"/>
  <c r="J94" i="7"/>
  <c r="K124" i="7"/>
  <c r="J154" i="7"/>
  <c r="M120" i="7"/>
  <c r="J42" i="12"/>
  <c r="J144" i="7"/>
  <c r="H168" i="7"/>
  <c r="K39" i="7"/>
  <c r="H44" i="7"/>
  <c r="I18" i="11"/>
  <c r="I19" i="11"/>
  <c r="H33" i="12"/>
  <c r="K10" i="7"/>
  <c r="H9" i="11"/>
  <c r="H10" i="11"/>
  <c r="H7" i="12"/>
  <c r="H12" i="12"/>
  <c r="K111" i="7"/>
  <c r="N109" i="7" s="1"/>
  <c r="N110" i="7" s="1"/>
  <c r="N101" i="11" s="1"/>
  <c r="K113" i="7"/>
  <c r="K130" i="7"/>
  <c r="J142" i="7"/>
  <c r="K137" i="7" s="1"/>
  <c r="M74" i="11"/>
  <c r="H180" i="7"/>
  <c r="K99" i="7"/>
  <c r="H104" i="7"/>
  <c r="G19" i="12"/>
  <c r="H35" i="11"/>
  <c r="H39" i="11"/>
  <c r="H40" i="11"/>
  <c r="H165" i="7"/>
  <c r="K83" i="7"/>
  <c r="K81" i="7"/>
  <c r="K82" i="7" s="1"/>
  <c r="L77" i="7" s="1"/>
  <c r="I131" i="7"/>
  <c r="I132" i="7" s="1"/>
  <c r="I133" i="7"/>
  <c r="P29" i="8"/>
  <c r="J139" i="11"/>
  <c r="J138" i="11"/>
  <c r="J134" i="11"/>
  <c r="E7" i="13"/>
  <c r="N29" i="8"/>
  <c r="J152" i="7"/>
  <c r="K147" i="7" s="1"/>
  <c r="H164" i="7"/>
  <c r="I37" i="7"/>
  <c r="F12" i="13"/>
  <c r="M109" i="7"/>
  <c r="J114" i="7"/>
  <c r="J129" i="11"/>
  <c r="J130" i="11"/>
  <c r="J125" i="11"/>
  <c r="K29" i="8"/>
  <c r="K35" i="8" s="1"/>
  <c r="K19" i="8"/>
  <c r="F12" i="10"/>
  <c r="L29" i="8"/>
  <c r="L35" i="8" s="1"/>
  <c r="L36" i="8" s="1"/>
  <c r="L7" i="10" s="1"/>
  <c r="L24" i="12" s="1"/>
  <c r="L19" i="8"/>
  <c r="J48" i="11"/>
  <c r="J44" i="11"/>
  <c r="J49" i="11"/>
  <c r="M49" i="7"/>
  <c r="J54" i="7"/>
  <c r="L20" i="11"/>
  <c r="G18" i="12"/>
  <c r="J31" i="12"/>
  <c r="G29" i="13"/>
  <c r="G13" i="12"/>
  <c r="G45" i="12"/>
  <c r="G34" i="12"/>
  <c r="G36" i="12" s="1"/>
  <c r="G56" i="12"/>
  <c r="H32" i="12"/>
  <c r="L150" i="7"/>
  <c r="L60" i="7"/>
  <c r="J98" i="11"/>
  <c r="J102" i="11"/>
  <c r="J103" i="11"/>
  <c r="L28" i="11"/>
  <c r="L27" i="11"/>
  <c r="M29" i="8"/>
  <c r="I24" i="12"/>
  <c r="J84" i="11"/>
  <c r="J85" i="11"/>
  <c r="J80" i="11"/>
  <c r="J22" i="7"/>
  <c r="K17" i="7" s="1"/>
  <c r="K122" i="7"/>
  <c r="L117" i="7" s="1"/>
  <c r="J62" i="7"/>
  <c r="K57" i="7" s="1"/>
  <c r="H11" i="12"/>
  <c r="H28" i="12"/>
  <c r="H64" i="11"/>
  <c r="H63" i="11"/>
  <c r="L83" i="11"/>
  <c r="I136" i="11"/>
  <c r="I135" i="11"/>
  <c r="J38" i="11"/>
  <c r="J166" i="7"/>
  <c r="J21" i="11"/>
  <c r="J22" i="11"/>
  <c r="J17" i="11"/>
  <c r="H50" i="12"/>
  <c r="H117" i="11"/>
  <c r="H118" i="11"/>
  <c r="J53" i="12"/>
  <c r="K107" i="11"/>
  <c r="K111" i="11"/>
  <c r="K112" i="11"/>
  <c r="J53" i="11"/>
  <c r="J58" i="11"/>
  <c r="J57" i="11"/>
  <c r="I73" i="7"/>
  <c r="I71" i="7"/>
  <c r="I72" i="7" s="1"/>
  <c r="O29" i="8"/>
  <c r="I55" i="11"/>
  <c r="I54" i="11"/>
  <c r="I127" i="11"/>
  <c r="I126" i="11"/>
  <c r="I7" i="7"/>
  <c r="H158" i="7"/>
  <c r="K70" i="7"/>
  <c r="J92" i="7"/>
  <c r="K87" i="7" s="1"/>
  <c r="H94" i="11"/>
  <c r="H93" i="11"/>
  <c r="H89" i="11"/>
  <c r="H177" i="7"/>
  <c r="P29" i="7"/>
  <c r="M34" i="7"/>
  <c r="J72" i="11"/>
  <c r="J73" i="11"/>
  <c r="L140" i="7"/>
  <c r="I82" i="11"/>
  <c r="I81" i="11"/>
  <c r="H54" i="12"/>
  <c r="H55" i="12"/>
  <c r="J52" i="7"/>
  <c r="K47" i="7" s="1"/>
  <c r="H102" i="7"/>
  <c r="M32" i="7"/>
  <c r="N27" i="7" s="1"/>
  <c r="M26" i="11" l="1"/>
  <c r="M27" i="11" s="1"/>
  <c r="J108" i="11"/>
  <c r="M30" i="11"/>
  <c r="H193" i="7"/>
  <c r="H190" i="7"/>
  <c r="H29" i="13" s="1"/>
  <c r="K112" i="7"/>
  <c r="L107" i="7" s="1"/>
  <c r="L113" i="7" s="1"/>
  <c r="K114" i="7"/>
  <c r="I182" i="7"/>
  <c r="J127" i="7"/>
  <c r="L81" i="7"/>
  <c r="O79" i="7" s="1"/>
  <c r="O80" i="7" s="1"/>
  <c r="O74" i="11" s="1"/>
  <c r="L83" i="7"/>
  <c r="H176" i="7"/>
  <c r="H189" i="7" s="1"/>
  <c r="H28" i="13" s="1"/>
  <c r="I97" i="7"/>
  <c r="M110" i="7"/>
  <c r="F14" i="13"/>
  <c r="M50" i="7"/>
  <c r="L128" i="11"/>
  <c r="J191" i="7"/>
  <c r="J46" i="11"/>
  <c r="J45" i="11"/>
  <c r="K65" i="11"/>
  <c r="K172" i="7"/>
  <c r="I13" i="7"/>
  <c r="I11" i="7"/>
  <c r="I12" i="7" s="1"/>
  <c r="K153" i="7"/>
  <c r="K151" i="7"/>
  <c r="J20" i="12"/>
  <c r="E8" i="13"/>
  <c r="K100" i="7"/>
  <c r="J136" i="11"/>
  <c r="J135" i="11"/>
  <c r="J18" i="11"/>
  <c r="J19" i="11"/>
  <c r="K109" i="11"/>
  <c r="K108" i="11"/>
  <c r="G16" i="13"/>
  <c r="G6" i="10"/>
  <c r="F14" i="10"/>
  <c r="K23" i="7"/>
  <c r="K21" i="7"/>
  <c r="K22" i="7" s="1"/>
  <c r="L17" i="7" s="1"/>
  <c r="J82" i="11"/>
  <c r="J81" i="11"/>
  <c r="L137" i="11"/>
  <c r="H8" i="12"/>
  <c r="K11" i="11"/>
  <c r="K160" i="7"/>
  <c r="K143" i="7"/>
  <c r="K141" i="7"/>
  <c r="K142" i="7" s="1"/>
  <c r="L137" i="7" s="1"/>
  <c r="K40" i="7"/>
  <c r="P30" i="7"/>
  <c r="Q29" i="7"/>
  <c r="J126" i="11"/>
  <c r="J127" i="11"/>
  <c r="I116" i="11"/>
  <c r="I121" i="11"/>
  <c r="I183" i="7"/>
  <c r="I120" i="11"/>
  <c r="I41" i="7"/>
  <c r="I43" i="7"/>
  <c r="K119" i="11"/>
  <c r="K184" i="7"/>
  <c r="H37" i="11"/>
  <c r="H17" i="12"/>
  <c r="H36" i="11"/>
  <c r="H52" i="12"/>
  <c r="H51" i="12"/>
  <c r="L123" i="7"/>
  <c r="L121" i="7"/>
  <c r="K53" i="7"/>
  <c r="K51" i="7"/>
  <c r="K52" i="7" s="1"/>
  <c r="L47" i="7" s="1"/>
  <c r="H9" i="12"/>
  <c r="L56" i="11"/>
  <c r="H30" i="12"/>
  <c r="K71" i="11"/>
  <c r="K75" i="11"/>
  <c r="K76" i="11"/>
  <c r="G25" i="12"/>
  <c r="G11" i="13"/>
  <c r="K36" i="8"/>
  <c r="I186" i="7"/>
  <c r="L129" i="7"/>
  <c r="L130" i="7" s="1"/>
  <c r="I134" i="7"/>
  <c r="J99" i="11"/>
  <c r="J100" i="11"/>
  <c r="H91" i="11"/>
  <c r="H90" i="11"/>
  <c r="H39" i="12"/>
  <c r="J67" i="7"/>
  <c r="I170" i="7"/>
  <c r="K103" i="11"/>
  <c r="K98" i="11"/>
  <c r="K102" i="11"/>
  <c r="H43" i="12"/>
  <c r="I174" i="7"/>
  <c r="L69" i="7"/>
  <c r="L70" i="7" s="1"/>
  <c r="I74" i="7"/>
  <c r="J54" i="11"/>
  <c r="J55" i="11"/>
  <c r="M110" i="11"/>
  <c r="H21" i="12"/>
  <c r="H29" i="12"/>
  <c r="G14" i="12"/>
  <c r="N79" i="7"/>
  <c r="N80" i="7" s="1"/>
  <c r="K84" i="7"/>
  <c r="H44" i="12"/>
  <c r="I66" i="11"/>
  <c r="I62" i="11"/>
  <c r="I171" i="7"/>
  <c r="I67" i="11"/>
  <c r="K91" i="7"/>
  <c r="K93" i="7"/>
  <c r="N31" i="7"/>
  <c r="N34" i="7" s="1"/>
  <c r="N33" i="7"/>
  <c r="K63" i="7"/>
  <c r="K61" i="7"/>
  <c r="H22" i="12"/>
  <c r="G59" i="12"/>
  <c r="M28" i="11" l="1"/>
  <c r="L84" i="7"/>
  <c r="L111" i="7"/>
  <c r="L112" i="7" s="1"/>
  <c r="M107" i="7" s="1"/>
  <c r="M111" i="7" s="1"/>
  <c r="H45" i="12"/>
  <c r="H23" i="12"/>
  <c r="H13" i="12"/>
  <c r="H14" i="12" s="1"/>
  <c r="H9" i="13" s="1"/>
  <c r="H56" i="12"/>
  <c r="H59" i="12" s="1"/>
  <c r="H13" i="13" s="1"/>
  <c r="H34" i="12"/>
  <c r="H36" i="12" s="1"/>
  <c r="H11" i="13" s="1"/>
  <c r="N32" i="7"/>
  <c r="O27" i="7" s="1"/>
  <c r="O31" i="7" s="1"/>
  <c r="O34" i="7" s="1"/>
  <c r="L143" i="7"/>
  <c r="L141" i="7"/>
  <c r="K31" i="12"/>
  <c r="F6" i="13"/>
  <c r="F46" i="12"/>
  <c r="G11" i="10"/>
  <c r="G8" i="10"/>
  <c r="K7" i="10"/>
  <c r="N19" i="7"/>
  <c r="N20" i="7" s="1"/>
  <c r="K24" i="7"/>
  <c r="G9" i="13"/>
  <c r="I64" i="11"/>
  <c r="I28" i="12"/>
  <c r="I63" i="11"/>
  <c r="K72" i="11"/>
  <c r="K73" i="11"/>
  <c r="I54" i="12"/>
  <c r="N74" i="11"/>
  <c r="I32" i="12"/>
  <c r="G10" i="13"/>
  <c r="H40" i="12"/>
  <c r="J7" i="7"/>
  <c r="I158" i="7"/>
  <c r="K53" i="12"/>
  <c r="L23" i="7"/>
  <c r="L21" i="7"/>
  <c r="L22" i="7" s="1"/>
  <c r="M17" i="7" s="1"/>
  <c r="J73" i="7"/>
  <c r="J71" i="7"/>
  <c r="J72" i="7" s="1"/>
  <c r="J58" i="12"/>
  <c r="I168" i="7"/>
  <c r="L39" i="7"/>
  <c r="L40" i="7" s="1"/>
  <c r="I44" i="7"/>
  <c r="K58" i="11"/>
  <c r="K57" i="11"/>
  <c r="K53" i="11"/>
  <c r="N26" i="11"/>
  <c r="N31" i="11"/>
  <c r="N30" i="11"/>
  <c r="I103" i="7"/>
  <c r="I101" i="7"/>
  <c r="I102" i="7" s="1"/>
  <c r="L107" i="11"/>
  <c r="L111" i="11"/>
  <c r="L112" i="11"/>
  <c r="N149" i="7"/>
  <c r="N150" i="7" s="1"/>
  <c r="K154" i="7"/>
  <c r="L75" i="11"/>
  <c r="L71" i="11"/>
  <c r="L76" i="11"/>
  <c r="K100" i="11"/>
  <c r="K99" i="11"/>
  <c r="I42" i="7"/>
  <c r="K21" i="11"/>
  <c r="K22" i="11"/>
  <c r="K17" i="11"/>
  <c r="P15" i="8"/>
  <c r="O15" i="8"/>
  <c r="N15" i="8"/>
  <c r="M15" i="8"/>
  <c r="M47" i="11"/>
  <c r="I55" i="12"/>
  <c r="I117" i="11"/>
  <c r="I118" i="11"/>
  <c r="I50" i="12"/>
  <c r="H41" i="12"/>
  <c r="L98" i="11"/>
  <c r="L102" i="11"/>
  <c r="L103" i="11"/>
  <c r="P29" i="11"/>
  <c r="Q29" i="11" s="1"/>
  <c r="Q30" i="7"/>
  <c r="K178" i="7"/>
  <c r="K92" i="11"/>
  <c r="N49" i="7"/>
  <c r="N50" i="7" s="1"/>
  <c r="K54" i="7"/>
  <c r="K49" i="11"/>
  <c r="K44" i="11"/>
  <c r="K48" i="11"/>
  <c r="K80" i="11"/>
  <c r="K84" i="11"/>
  <c r="K85" i="11"/>
  <c r="K139" i="11"/>
  <c r="K134" i="11"/>
  <c r="K138" i="11"/>
  <c r="H18" i="12"/>
  <c r="H19" i="12"/>
  <c r="N59" i="7"/>
  <c r="N60" i="7" s="1"/>
  <c r="K64" i="7"/>
  <c r="M101" i="11"/>
  <c r="N89" i="7"/>
  <c r="N90" i="7" s="1"/>
  <c r="K94" i="7"/>
  <c r="L184" i="7"/>
  <c r="L119" i="11"/>
  <c r="L53" i="12" s="1"/>
  <c r="K10" i="12"/>
  <c r="K152" i="7"/>
  <c r="L147" i="7" s="1"/>
  <c r="L82" i="7"/>
  <c r="M77" i="7" s="1"/>
  <c r="G13" i="13"/>
  <c r="K62" i="7"/>
  <c r="L57" i="7" s="1"/>
  <c r="L53" i="7"/>
  <c r="L51" i="7"/>
  <c r="O49" i="7" s="1"/>
  <c r="O50" i="7" s="1"/>
  <c r="K38" i="11"/>
  <c r="K166" i="7"/>
  <c r="N139" i="7"/>
  <c r="N140" i="7" s="1"/>
  <c r="K144" i="7"/>
  <c r="O119" i="7"/>
  <c r="O120" i="7" s="1"/>
  <c r="L124" i="7"/>
  <c r="L122" i="7"/>
  <c r="M117" i="7" s="1"/>
  <c r="I162" i="7"/>
  <c r="L9" i="7"/>
  <c r="L10" i="7" s="1"/>
  <c r="I14" i="7"/>
  <c r="J131" i="7"/>
  <c r="J132" i="7" s="1"/>
  <c r="J133" i="7"/>
  <c r="I33" i="12"/>
  <c r="L172" i="7"/>
  <c r="L65" i="11"/>
  <c r="L31" i="12" s="1"/>
  <c r="I35" i="11"/>
  <c r="I39" i="11"/>
  <c r="I40" i="11"/>
  <c r="I165" i="7"/>
  <c r="E15" i="13"/>
  <c r="E20" i="13"/>
  <c r="K130" i="11"/>
  <c r="K129" i="11"/>
  <c r="K125" i="11"/>
  <c r="K92" i="7"/>
  <c r="L87" i="7" s="1"/>
  <c r="I8" i="11"/>
  <c r="I13" i="11"/>
  <c r="I12" i="11"/>
  <c r="I159" i="7"/>
  <c r="O33" i="7" l="1"/>
  <c r="O31" i="11" s="1"/>
  <c r="O109" i="7"/>
  <c r="O110" i="7" s="1"/>
  <c r="O101" i="11" s="1"/>
  <c r="M113" i="7"/>
  <c r="M102" i="11" s="1"/>
  <c r="L114" i="7"/>
  <c r="L52" i="7"/>
  <c r="M47" i="7" s="1"/>
  <c r="M51" i="7" s="1"/>
  <c r="M52" i="7" s="1"/>
  <c r="N47" i="7" s="1"/>
  <c r="H25" i="12"/>
  <c r="H10" i="13" s="1"/>
  <c r="H12" i="13" s="1"/>
  <c r="K191" i="7"/>
  <c r="K58" i="12" s="1"/>
  <c r="J182" i="7"/>
  <c r="K127" i="7"/>
  <c r="I176" i="7"/>
  <c r="J97" i="7"/>
  <c r="P16" i="8"/>
  <c r="P32" i="8" s="1"/>
  <c r="N16" i="8"/>
  <c r="N32" i="8" s="1"/>
  <c r="O16" i="8"/>
  <c r="O32" i="8" s="1"/>
  <c r="N47" i="11"/>
  <c r="N128" i="11"/>
  <c r="O19" i="7"/>
  <c r="O20" i="7" s="1"/>
  <c r="O20" i="11" s="1"/>
  <c r="L24" i="7"/>
  <c r="L21" i="11"/>
  <c r="L22" i="11"/>
  <c r="L17" i="11"/>
  <c r="L49" i="11"/>
  <c r="L44" i="11"/>
  <c r="L48" i="11"/>
  <c r="L100" i="11"/>
  <c r="L99" i="11"/>
  <c r="I89" i="11"/>
  <c r="I94" i="11"/>
  <c r="I93" i="11"/>
  <c r="I177" i="7"/>
  <c r="I190" i="7" s="1"/>
  <c r="J13" i="7"/>
  <c r="J11" i="7"/>
  <c r="J12" i="7" s="1"/>
  <c r="N20" i="11"/>
  <c r="L109" i="11"/>
  <c r="L108" i="11"/>
  <c r="O17" i="8"/>
  <c r="O33" i="8" s="1"/>
  <c r="P17" i="8"/>
  <c r="P33" i="8" s="1"/>
  <c r="O47" i="11"/>
  <c r="I180" i="7"/>
  <c r="I193" i="7" s="1"/>
  <c r="L99" i="7"/>
  <c r="L100" i="7" s="1"/>
  <c r="I104" i="7"/>
  <c r="I22" i="12"/>
  <c r="L63" i="7"/>
  <c r="L61" i="7"/>
  <c r="L62" i="7" s="1"/>
  <c r="M57" i="7" s="1"/>
  <c r="J186" i="7"/>
  <c r="M129" i="7"/>
  <c r="M130" i="7" s="1"/>
  <c r="J134" i="7"/>
  <c r="G12" i="13"/>
  <c r="M23" i="7"/>
  <c r="M21" i="7"/>
  <c r="I52" i="12"/>
  <c r="F47" i="12"/>
  <c r="J121" i="11"/>
  <c r="J55" i="12" s="1"/>
  <c r="J183" i="7"/>
  <c r="J120" i="11"/>
  <c r="J54" i="12" s="1"/>
  <c r="J116" i="11"/>
  <c r="I51" i="12"/>
  <c r="G10" i="10"/>
  <c r="I17" i="12"/>
  <c r="I37" i="11"/>
  <c r="I36" i="11"/>
  <c r="P31" i="8"/>
  <c r="K67" i="7"/>
  <c r="J170" i="7"/>
  <c r="K24" i="12"/>
  <c r="F23" i="13"/>
  <c r="F21" i="13"/>
  <c r="F25" i="13"/>
  <c r="F22" i="13"/>
  <c r="L72" i="11"/>
  <c r="L73" i="11"/>
  <c r="L153" i="7"/>
  <c r="L151" i="7"/>
  <c r="L152" i="7" s="1"/>
  <c r="M147" i="7" s="1"/>
  <c r="M31" i="8"/>
  <c r="M35" i="8" s="1"/>
  <c r="M19" i="8"/>
  <c r="N28" i="11"/>
  <c r="N27" i="11"/>
  <c r="M83" i="7"/>
  <c r="M81" i="7"/>
  <c r="M82" i="7" s="1"/>
  <c r="N77" i="7" s="1"/>
  <c r="K82" i="11"/>
  <c r="K81" i="11"/>
  <c r="K46" i="11"/>
  <c r="K45" i="11"/>
  <c r="I9" i="11"/>
  <c r="I10" i="11"/>
  <c r="I7" i="12"/>
  <c r="N83" i="11"/>
  <c r="O32" i="7"/>
  <c r="P27" i="7" s="1"/>
  <c r="L93" i="7"/>
  <c r="L91" i="7"/>
  <c r="L92" i="7" s="1"/>
  <c r="M87" i="7" s="1"/>
  <c r="M123" i="7"/>
  <c r="M121" i="7"/>
  <c r="O139" i="7"/>
  <c r="O140" i="7" s="1"/>
  <c r="O128" i="11" s="1"/>
  <c r="L144" i="7"/>
  <c r="L54" i="7"/>
  <c r="I164" i="7"/>
  <c r="J37" i="7"/>
  <c r="L130" i="11"/>
  <c r="L129" i="11"/>
  <c r="L125" i="11"/>
  <c r="N56" i="11"/>
  <c r="K20" i="12"/>
  <c r="I21" i="12"/>
  <c r="H16" i="13"/>
  <c r="L11" i="11"/>
  <c r="L10" i="12" s="1"/>
  <c r="L160" i="7"/>
  <c r="L38" i="11"/>
  <c r="L20" i="12" s="1"/>
  <c r="L166" i="7"/>
  <c r="I30" i="12"/>
  <c r="P109" i="7"/>
  <c r="M114" i="7"/>
  <c r="I11" i="12"/>
  <c r="O31" i="8"/>
  <c r="L142" i="7"/>
  <c r="M137" i="7" s="1"/>
  <c r="J171" i="7"/>
  <c r="J66" i="11"/>
  <c r="J32" i="12" s="1"/>
  <c r="J67" i="11"/>
  <c r="J33" i="12" s="1"/>
  <c r="J62" i="11"/>
  <c r="K42" i="12"/>
  <c r="N137" i="11"/>
  <c r="K136" i="11"/>
  <c r="K135" i="11"/>
  <c r="K55" i="11"/>
  <c r="K54" i="11"/>
  <c r="N31" i="8"/>
  <c r="I12" i="12"/>
  <c r="K19" i="11"/>
  <c r="K18" i="11"/>
  <c r="K127" i="11"/>
  <c r="K126" i="11"/>
  <c r="I29" i="12"/>
  <c r="E17" i="13"/>
  <c r="E24" i="13"/>
  <c r="O110" i="11"/>
  <c r="J174" i="7"/>
  <c r="M69" i="7"/>
  <c r="M70" i="7" s="1"/>
  <c r="J74" i="7"/>
  <c r="M112" i="7"/>
  <c r="N107" i="7" s="1"/>
  <c r="O30" i="11" l="1"/>
  <c r="O26" i="11"/>
  <c r="O27" i="11" s="1"/>
  <c r="M103" i="11"/>
  <c r="M98" i="11"/>
  <c r="M99" i="11" s="1"/>
  <c r="M53" i="7"/>
  <c r="M48" i="11" s="1"/>
  <c r="I189" i="7"/>
  <c r="I28" i="13" s="1"/>
  <c r="N35" i="8"/>
  <c r="N36" i="8" s="1"/>
  <c r="N7" i="10" s="1"/>
  <c r="N24" i="12" s="1"/>
  <c r="O19" i="8"/>
  <c r="M93" i="7"/>
  <c r="M91" i="7"/>
  <c r="M63" i="7"/>
  <c r="M61" i="7"/>
  <c r="J158" i="7"/>
  <c r="K7" i="7"/>
  <c r="I29" i="13"/>
  <c r="I34" i="12"/>
  <c r="I56" i="12"/>
  <c r="I59" i="12" s="1"/>
  <c r="I23" i="12"/>
  <c r="I13" i="12"/>
  <c r="M153" i="7"/>
  <c r="M151" i="7"/>
  <c r="M152" i="7" s="1"/>
  <c r="N147" i="7" s="1"/>
  <c r="N81" i="7"/>
  <c r="N84" i="7" s="1"/>
  <c r="N83" i="7"/>
  <c r="I39" i="12"/>
  <c r="I91" i="11"/>
  <c r="I90" i="11"/>
  <c r="M75" i="11"/>
  <c r="M71" i="11"/>
  <c r="M76" i="11"/>
  <c r="N113" i="7"/>
  <c r="N111" i="7"/>
  <c r="N114" i="7" s="1"/>
  <c r="P79" i="7"/>
  <c r="M84" i="7"/>
  <c r="L127" i="11"/>
  <c r="L126" i="11"/>
  <c r="J43" i="7"/>
  <c r="J41" i="7"/>
  <c r="J28" i="12"/>
  <c r="J63" i="11"/>
  <c r="J29" i="12" s="1"/>
  <c r="J64" i="11"/>
  <c r="J30" i="12" s="1"/>
  <c r="J12" i="11"/>
  <c r="J11" i="12" s="1"/>
  <c r="J8" i="11"/>
  <c r="J159" i="7"/>
  <c r="J13" i="11"/>
  <c r="J12" i="12" s="1"/>
  <c r="I44" i="12"/>
  <c r="I19" i="12"/>
  <c r="L138" i="11"/>
  <c r="L139" i="11"/>
  <c r="L134" i="11"/>
  <c r="J50" i="12"/>
  <c r="J117" i="11"/>
  <c r="J51" i="12" s="1"/>
  <c r="J118" i="11"/>
  <c r="J52" i="12" s="1"/>
  <c r="K73" i="7"/>
  <c r="K71" i="7"/>
  <c r="J101" i="7"/>
  <c r="J102" i="7" s="1"/>
  <c r="J103" i="7"/>
  <c r="O59" i="7"/>
  <c r="O60" i="7" s="1"/>
  <c r="O56" i="11" s="1"/>
  <c r="L64" i="7"/>
  <c r="M65" i="11"/>
  <c r="M31" i="12" s="1"/>
  <c r="M172" i="7"/>
  <c r="P49" i="7"/>
  <c r="M54" i="7"/>
  <c r="L18" i="11"/>
  <c r="L19" i="11"/>
  <c r="P119" i="7"/>
  <c r="M124" i="7"/>
  <c r="G12" i="10"/>
  <c r="M112" i="11"/>
  <c r="M111" i="11"/>
  <c r="M107" i="11"/>
  <c r="P19" i="7"/>
  <c r="M24" i="7"/>
  <c r="G14" i="13"/>
  <c r="I45" i="12"/>
  <c r="M122" i="7"/>
  <c r="N117" i="7" s="1"/>
  <c r="M36" i="8"/>
  <c r="O149" i="7"/>
  <c r="O150" i="7" s="1"/>
  <c r="O137" i="11" s="1"/>
  <c r="L154" i="7"/>
  <c r="O89" i="7"/>
  <c r="O90" i="7" s="1"/>
  <c r="O83" i="11" s="1"/>
  <c r="L94" i="7"/>
  <c r="F7" i="13"/>
  <c r="K131" i="7"/>
  <c r="K133" i="7"/>
  <c r="M21" i="11"/>
  <c r="M22" i="11"/>
  <c r="M17" i="11"/>
  <c r="J162" i="7"/>
  <c r="M9" i="7"/>
  <c r="M10" i="7" s="1"/>
  <c r="J14" i="7"/>
  <c r="M119" i="11"/>
  <c r="M184" i="7"/>
  <c r="I43" i="12"/>
  <c r="L53" i="11"/>
  <c r="L58" i="11"/>
  <c r="L57" i="11"/>
  <c r="N53" i="7"/>
  <c r="N51" i="7"/>
  <c r="N54" i="7" s="1"/>
  <c r="L46" i="11"/>
  <c r="L45" i="11"/>
  <c r="L92" i="11"/>
  <c r="L178" i="7"/>
  <c r="L191" i="7" s="1"/>
  <c r="P110" i="7"/>
  <c r="Q109" i="7"/>
  <c r="P31" i="7"/>
  <c r="P32" i="7" s="1"/>
  <c r="Q32" i="7" s="1"/>
  <c r="P33" i="7"/>
  <c r="I9" i="12"/>
  <c r="M22" i="7"/>
  <c r="N17" i="7" s="1"/>
  <c r="I18" i="12"/>
  <c r="M143" i="7"/>
  <c r="M141" i="7"/>
  <c r="O35" i="8"/>
  <c r="O36" i="8" s="1"/>
  <c r="O7" i="10" s="1"/>
  <c r="O24" i="12" s="1"/>
  <c r="L84" i="11"/>
  <c r="L80" i="11"/>
  <c r="L85" i="11"/>
  <c r="N19" i="8"/>
  <c r="I8" i="12"/>
  <c r="H14" i="13"/>
  <c r="O28" i="11" l="1"/>
  <c r="M100" i="11"/>
  <c r="M44" i="11"/>
  <c r="M45" i="11" s="1"/>
  <c r="M49" i="11"/>
  <c r="I14" i="12"/>
  <c r="I9" i="13" s="1"/>
  <c r="I25" i="12"/>
  <c r="I10" i="13" s="1"/>
  <c r="N82" i="7"/>
  <c r="O77" i="7" s="1"/>
  <c r="O83" i="7" s="1"/>
  <c r="N52" i="7"/>
  <c r="O47" i="7" s="1"/>
  <c r="O53" i="7" s="1"/>
  <c r="I13" i="13"/>
  <c r="N75" i="11"/>
  <c r="N71" i="11"/>
  <c r="N76" i="11"/>
  <c r="M160" i="7"/>
  <c r="M11" i="11"/>
  <c r="M10" i="12" s="1"/>
  <c r="N112" i="7"/>
  <c r="O107" i="7" s="1"/>
  <c r="P120" i="7"/>
  <c r="Q119" i="7"/>
  <c r="M109" i="11"/>
  <c r="M108" i="11"/>
  <c r="N123" i="7"/>
  <c r="N121" i="7"/>
  <c r="N124" i="7" s="1"/>
  <c r="N98" i="11"/>
  <c r="N102" i="11"/>
  <c r="N103" i="11"/>
  <c r="H6" i="10"/>
  <c r="G14" i="10"/>
  <c r="N49" i="11"/>
  <c r="N44" i="11"/>
  <c r="N48" i="11"/>
  <c r="P139" i="7"/>
  <c r="M144" i="7"/>
  <c r="L58" i="12"/>
  <c r="L136" i="11"/>
  <c r="L135" i="11"/>
  <c r="I40" i="12"/>
  <c r="M53" i="12"/>
  <c r="J9" i="11"/>
  <c r="J8" i="12" s="1"/>
  <c r="J7" i="12"/>
  <c r="J10" i="11"/>
  <c r="J9" i="12" s="1"/>
  <c r="N153" i="7"/>
  <c r="N151" i="7"/>
  <c r="N154" i="7" s="1"/>
  <c r="I36" i="12"/>
  <c r="P26" i="11"/>
  <c r="P31" i="11"/>
  <c r="Q31" i="11" s="1"/>
  <c r="P30" i="11"/>
  <c r="Q30" i="11" s="1"/>
  <c r="Q33" i="7"/>
  <c r="K13" i="7"/>
  <c r="K11" i="7"/>
  <c r="P101" i="11"/>
  <c r="Q101" i="11" s="1"/>
  <c r="Q110" i="7"/>
  <c r="M58" i="11"/>
  <c r="M57" i="11"/>
  <c r="M53" i="11"/>
  <c r="M7" i="10"/>
  <c r="M72" i="11"/>
  <c r="M73" i="11"/>
  <c r="L54" i="11"/>
  <c r="L55" i="11"/>
  <c r="P20" i="7"/>
  <c r="Q19" i="7"/>
  <c r="L81" i="11"/>
  <c r="L82" i="11"/>
  <c r="P149" i="7"/>
  <c r="M154" i="7"/>
  <c r="M142" i="7"/>
  <c r="N137" i="7" s="1"/>
  <c r="M134" i="11"/>
  <c r="M138" i="11"/>
  <c r="M139" i="11"/>
  <c r="K186" i="7"/>
  <c r="N129" i="7"/>
  <c r="N130" i="7" s="1"/>
  <c r="K134" i="7"/>
  <c r="J168" i="7"/>
  <c r="M39" i="7"/>
  <c r="M40" i="7" s="1"/>
  <c r="J44" i="7"/>
  <c r="P59" i="7"/>
  <c r="M64" i="7"/>
  <c r="P89" i="7"/>
  <c r="M94" i="7"/>
  <c r="P34" i="7"/>
  <c r="Q34" i="7" s="1"/>
  <c r="Q31" i="7"/>
  <c r="C7" i="15" s="1"/>
  <c r="E7" i="15" s="1"/>
  <c r="J39" i="11"/>
  <c r="J21" i="12" s="1"/>
  <c r="J35" i="11"/>
  <c r="J40" i="11"/>
  <c r="J22" i="12" s="1"/>
  <c r="J165" i="7"/>
  <c r="J176" i="7"/>
  <c r="K97" i="7"/>
  <c r="K174" i="7"/>
  <c r="N69" i="7"/>
  <c r="N70" i="7" s="1"/>
  <c r="K74" i="7"/>
  <c r="P80" i="7"/>
  <c r="Q79" i="7"/>
  <c r="M92" i="7"/>
  <c r="N87" i="7" s="1"/>
  <c r="I41" i="12"/>
  <c r="I16" i="13" s="1"/>
  <c r="N23" i="7"/>
  <c r="N21" i="7"/>
  <c r="N24" i="7" s="1"/>
  <c r="K183" i="7"/>
  <c r="K120" i="11"/>
  <c r="K54" i="12" s="1"/>
  <c r="K121" i="11"/>
  <c r="K55" i="12" s="1"/>
  <c r="K116" i="11"/>
  <c r="M62" i="7"/>
  <c r="N57" i="7" s="1"/>
  <c r="K72" i="7"/>
  <c r="M80" i="11"/>
  <c r="M85" i="11"/>
  <c r="M84" i="11"/>
  <c r="M125" i="11"/>
  <c r="M130" i="11"/>
  <c r="M129" i="11"/>
  <c r="M19" i="11"/>
  <c r="M18" i="11"/>
  <c r="P50" i="7"/>
  <c r="Q49" i="7"/>
  <c r="K132" i="7"/>
  <c r="J42" i="7"/>
  <c r="J89" i="11"/>
  <c r="J94" i="11"/>
  <c r="J44" i="12" s="1"/>
  <c r="J93" i="11"/>
  <c r="J43" i="12" s="1"/>
  <c r="J177" i="7"/>
  <c r="F8" i="13"/>
  <c r="J180" i="7"/>
  <c r="M99" i="7"/>
  <c r="M100" i="7" s="1"/>
  <c r="J104" i="7"/>
  <c r="L42" i="12"/>
  <c r="K66" i="11"/>
  <c r="K32" i="12" s="1"/>
  <c r="K171" i="7"/>
  <c r="K62" i="11"/>
  <c r="K67" i="11"/>
  <c r="K33" i="12" s="1"/>
  <c r="J193" i="7" l="1"/>
  <c r="O81" i="7"/>
  <c r="O84" i="7" s="1"/>
  <c r="M46" i="11"/>
  <c r="O51" i="7"/>
  <c r="O54" i="7" s="1"/>
  <c r="J190" i="7"/>
  <c r="J23" i="12" s="1"/>
  <c r="N122" i="7"/>
  <c r="O117" i="7" s="1"/>
  <c r="O121" i="7" s="1"/>
  <c r="O124" i="7" s="1"/>
  <c r="G46" i="12"/>
  <c r="G6" i="13"/>
  <c r="N184" i="7"/>
  <c r="N119" i="11"/>
  <c r="N53" i="12" s="1"/>
  <c r="I11" i="13"/>
  <c r="I12" i="13" s="1"/>
  <c r="I14" i="13" s="1"/>
  <c r="N100" i="11"/>
  <c r="N99" i="11"/>
  <c r="P110" i="11"/>
  <c r="Q110" i="11" s="1"/>
  <c r="Q120" i="7"/>
  <c r="K162" i="7"/>
  <c r="N9" i="7"/>
  <c r="N10" i="7" s="1"/>
  <c r="K14" i="7"/>
  <c r="N46" i="11"/>
  <c r="N45" i="11"/>
  <c r="M82" i="11"/>
  <c r="M81" i="11"/>
  <c r="N107" i="11"/>
  <c r="N112" i="11"/>
  <c r="N111" i="11"/>
  <c r="N22" i="11"/>
  <c r="N17" i="11"/>
  <c r="N21" i="11"/>
  <c r="M38" i="11"/>
  <c r="M166" i="7"/>
  <c r="K12" i="7"/>
  <c r="N93" i="7"/>
  <c r="N91" i="7"/>
  <c r="N94" i="7" s="1"/>
  <c r="N172" i="7"/>
  <c r="N65" i="11"/>
  <c r="N31" i="12" s="1"/>
  <c r="K64" i="11"/>
  <c r="K30" i="12" s="1"/>
  <c r="K63" i="11"/>
  <c r="K29" i="12" s="1"/>
  <c r="K28" i="12"/>
  <c r="K13" i="11"/>
  <c r="K12" i="12" s="1"/>
  <c r="K12" i="11"/>
  <c r="K11" i="12" s="1"/>
  <c r="K8" i="11"/>
  <c r="K159" i="7"/>
  <c r="J164" i="7"/>
  <c r="J189" i="7" s="1"/>
  <c r="J28" i="13" s="1"/>
  <c r="K37" i="7"/>
  <c r="M136" i="11"/>
  <c r="M135" i="11"/>
  <c r="N138" i="11"/>
  <c r="N139" i="11"/>
  <c r="N134" i="11"/>
  <c r="N143" i="7"/>
  <c r="N141" i="7"/>
  <c r="N144" i="7" s="1"/>
  <c r="O49" i="11"/>
  <c r="O44" i="11"/>
  <c r="O48" i="11"/>
  <c r="K101" i="7"/>
  <c r="K102" i="7" s="1"/>
  <c r="K103" i="7"/>
  <c r="H8" i="10"/>
  <c r="H11" i="10"/>
  <c r="M178" i="7"/>
  <c r="M92" i="11"/>
  <c r="M42" i="12" s="1"/>
  <c r="N63" i="7"/>
  <c r="N61" i="7"/>
  <c r="N64" i="7" s="1"/>
  <c r="P27" i="11"/>
  <c r="Q27" i="11" s="1"/>
  <c r="P28" i="11"/>
  <c r="Q28" i="11" s="1"/>
  <c r="Q26" i="11"/>
  <c r="J91" i="11"/>
  <c r="J41" i="12" s="1"/>
  <c r="J90" i="11"/>
  <c r="J40" i="12" s="1"/>
  <c r="J39" i="12"/>
  <c r="O113" i="7"/>
  <c r="O111" i="7"/>
  <c r="O114" i="7" s="1"/>
  <c r="P150" i="7"/>
  <c r="Q149" i="7"/>
  <c r="P74" i="11"/>
  <c r="Q74" i="11" s="1"/>
  <c r="Q80" i="7"/>
  <c r="N72" i="11"/>
  <c r="N73" i="11"/>
  <c r="P20" i="11"/>
  <c r="Q20" i="11" s="1"/>
  <c r="Q20" i="7"/>
  <c r="O75" i="11"/>
  <c r="O71" i="11"/>
  <c r="O76" i="11"/>
  <c r="J17" i="12"/>
  <c r="J37" i="11"/>
  <c r="J19" i="12" s="1"/>
  <c r="J36" i="11"/>
  <c r="J18" i="12" s="1"/>
  <c r="P90" i="7"/>
  <c r="Q89" i="7"/>
  <c r="P60" i="7"/>
  <c r="Q59" i="7"/>
  <c r="L67" i="7"/>
  <c r="K170" i="7"/>
  <c r="N22" i="7"/>
  <c r="O17" i="7" s="1"/>
  <c r="K182" i="7"/>
  <c r="L127" i="7"/>
  <c r="M24" i="12"/>
  <c r="K117" i="11"/>
  <c r="K51" i="12" s="1"/>
  <c r="K50" i="12"/>
  <c r="K118" i="11"/>
  <c r="K52" i="12" s="1"/>
  <c r="F15" i="13"/>
  <c r="F20" i="13"/>
  <c r="N152" i="7"/>
  <c r="O147" i="7" s="1"/>
  <c r="P47" i="11"/>
  <c r="Q47" i="11" s="1"/>
  <c r="P18" i="8"/>
  <c r="Q50" i="7"/>
  <c r="M126" i="11"/>
  <c r="M127" i="11"/>
  <c r="M55" i="11"/>
  <c r="M54" i="11"/>
  <c r="P140" i="7"/>
  <c r="Q139" i="7"/>
  <c r="O82" i="7" l="1"/>
  <c r="P77" i="7" s="1"/>
  <c r="P81" i="7" s="1"/>
  <c r="P82" i="7" s="1"/>
  <c r="Q82" i="7" s="1"/>
  <c r="O52" i="7"/>
  <c r="P47" i="7" s="1"/>
  <c r="P53" i="7" s="1"/>
  <c r="O123" i="7"/>
  <c r="O107" i="11" s="1"/>
  <c r="J56" i="12"/>
  <c r="J59" i="12" s="1"/>
  <c r="J13" i="13" s="1"/>
  <c r="J16" i="13"/>
  <c r="J45" i="12"/>
  <c r="J13" i="12"/>
  <c r="J14" i="12" s="1"/>
  <c r="J9" i="13" s="1"/>
  <c r="J29" i="13"/>
  <c r="J34" i="12"/>
  <c r="J36" i="12" s="1"/>
  <c r="J11" i="13" s="1"/>
  <c r="O122" i="7"/>
  <c r="P117" i="7" s="1"/>
  <c r="P121" i="7" s="1"/>
  <c r="O112" i="7"/>
  <c r="P107" i="7" s="1"/>
  <c r="P113" i="7" s="1"/>
  <c r="M191" i="7"/>
  <c r="M58" i="12" s="1"/>
  <c r="F24" i="13"/>
  <c r="F17" i="13"/>
  <c r="N18" i="11"/>
  <c r="N19" i="11"/>
  <c r="O98" i="11"/>
  <c r="O102" i="11"/>
  <c r="O103" i="11"/>
  <c r="O23" i="7"/>
  <c r="O21" i="7"/>
  <c r="O24" i="7" s="1"/>
  <c r="K41" i="7"/>
  <c r="K43" i="7"/>
  <c r="L97" i="7"/>
  <c r="K176" i="7"/>
  <c r="O73" i="11"/>
  <c r="O72" i="11"/>
  <c r="L133" i="7"/>
  <c r="L131" i="7"/>
  <c r="K180" i="7"/>
  <c r="N99" i="7"/>
  <c r="N100" i="7" s="1"/>
  <c r="K104" i="7"/>
  <c r="P137" i="11"/>
  <c r="Q137" i="11" s="1"/>
  <c r="Q150" i="7"/>
  <c r="K10" i="11"/>
  <c r="K9" i="12" s="1"/>
  <c r="K9" i="11"/>
  <c r="K8" i="12" s="1"/>
  <c r="K7" i="12"/>
  <c r="N53" i="11"/>
  <c r="N58" i="11"/>
  <c r="N57" i="11"/>
  <c r="P83" i="11"/>
  <c r="Q83" i="11" s="1"/>
  <c r="Q90" i="7"/>
  <c r="P128" i="11"/>
  <c r="Q128" i="11" s="1"/>
  <c r="Q140" i="7"/>
  <c r="H10" i="10"/>
  <c r="J25" i="12"/>
  <c r="J10" i="13" s="1"/>
  <c r="N92" i="7"/>
  <c r="O87" i="7" s="1"/>
  <c r="N85" i="11"/>
  <c r="N80" i="11"/>
  <c r="N84" i="11"/>
  <c r="K158" i="7"/>
  <c r="L7" i="7"/>
  <c r="O46" i="11"/>
  <c r="O45" i="11"/>
  <c r="N130" i="11"/>
  <c r="N129" i="11"/>
  <c r="N125" i="11"/>
  <c r="G25" i="13"/>
  <c r="G23" i="13"/>
  <c r="G21" i="13"/>
  <c r="G22" i="13"/>
  <c r="N135" i="11"/>
  <c r="N136" i="11"/>
  <c r="N108" i="11"/>
  <c r="N109" i="11"/>
  <c r="L71" i="7"/>
  <c r="L73" i="7"/>
  <c r="N62" i="7"/>
  <c r="O57" i="7" s="1"/>
  <c r="N160" i="7"/>
  <c r="N11" i="11"/>
  <c r="N10" i="12" s="1"/>
  <c r="P56" i="11"/>
  <c r="Q56" i="11" s="1"/>
  <c r="Q60" i="7"/>
  <c r="K93" i="11"/>
  <c r="K43" i="12" s="1"/>
  <c r="K89" i="11"/>
  <c r="K94" i="11"/>
  <c r="K44" i="12" s="1"/>
  <c r="K177" i="7"/>
  <c r="P34" i="8"/>
  <c r="P35" i="8" s="1"/>
  <c r="P19" i="8"/>
  <c r="M20" i="12"/>
  <c r="O153" i="7"/>
  <c r="O151" i="7"/>
  <c r="O154" i="7" s="1"/>
  <c r="N142" i="7"/>
  <c r="O137" i="7" s="1"/>
  <c r="G47" i="12"/>
  <c r="Q81" i="7" l="1"/>
  <c r="C12" i="15" s="1"/>
  <c r="E12" i="15" s="1"/>
  <c r="P83" i="7"/>
  <c r="Q83" i="7" s="1"/>
  <c r="P84" i="7"/>
  <c r="Q84" i="7" s="1"/>
  <c r="P123" i="7"/>
  <c r="P111" i="11" s="1"/>
  <c r="P51" i="7"/>
  <c r="Q51" i="7" s="1"/>
  <c r="O112" i="11"/>
  <c r="O111" i="11"/>
  <c r="P111" i="7"/>
  <c r="P112" i="7" s="1"/>
  <c r="Q112" i="7" s="1"/>
  <c r="O22" i="7"/>
  <c r="P17" i="7" s="1"/>
  <c r="P21" i="7" s="1"/>
  <c r="P22" i="7" s="1"/>
  <c r="Q22" i="7" s="1"/>
  <c r="N54" i="11"/>
  <c r="N55" i="11"/>
  <c r="O17" i="11"/>
  <c r="O22" i="11"/>
  <c r="O21" i="11"/>
  <c r="L174" i="7"/>
  <c r="O69" i="7"/>
  <c r="O70" i="7" s="1"/>
  <c r="L74" i="7"/>
  <c r="K168" i="7"/>
  <c r="K193" i="7" s="1"/>
  <c r="N39" i="7"/>
  <c r="N40" i="7" s="1"/>
  <c r="K44" i="7"/>
  <c r="G7" i="13"/>
  <c r="O109" i="11"/>
  <c r="O108" i="11"/>
  <c r="P124" i="7"/>
  <c r="Q124" i="7" s="1"/>
  <c r="Q121" i="7"/>
  <c r="O134" i="11"/>
  <c r="O138" i="11"/>
  <c r="O139" i="11"/>
  <c r="L186" i="7"/>
  <c r="O129" i="7"/>
  <c r="O130" i="7" s="1"/>
  <c r="L134" i="7"/>
  <c r="L101" i="7"/>
  <c r="L102" i="7" s="1"/>
  <c r="L103" i="7"/>
  <c r="N82" i="11"/>
  <c r="N81" i="11"/>
  <c r="L67" i="11"/>
  <c r="L33" i="12" s="1"/>
  <c r="L171" i="7"/>
  <c r="L62" i="11"/>
  <c r="L66" i="11"/>
  <c r="L32" i="12" s="1"/>
  <c r="L72" i="7"/>
  <c r="K91" i="11"/>
  <c r="K41" i="12" s="1"/>
  <c r="K39" i="12"/>
  <c r="K90" i="11"/>
  <c r="K40" i="12" s="1"/>
  <c r="O63" i="7"/>
  <c r="O61" i="7"/>
  <c r="O64" i="7" s="1"/>
  <c r="P102" i="11"/>
  <c r="Q102" i="11" s="1"/>
  <c r="P98" i="11"/>
  <c r="P103" i="11"/>
  <c r="Q103" i="11" s="1"/>
  <c r="Q113" i="7"/>
  <c r="O152" i="7"/>
  <c r="P147" i="7" s="1"/>
  <c r="N92" i="11"/>
  <c r="N42" i="12" s="1"/>
  <c r="N178" i="7"/>
  <c r="O91" i="7"/>
  <c r="O94" i="7" s="1"/>
  <c r="O93" i="7"/>
  <c r="P122" i="7"/>
  <c r="Q122" i="7" s="1"/>
  <c r="K39" i="11"/>
  <c r="K21" i="12" s="1"/>
  <c r="K165" i="7"/>
  <c r="K40" i="11"/>
  <c r="K22" i="12" s="1"/>
  <c r="K35" i="11"/>
  <c r="P36" i="8"/>
  <c r="Q35" i="8"/>
  <c r="O100" i="11"/>
  <c r="O99" i="11"/>
  <c r="J12" i="13"/>
  <c r="J14" i="13" s="1"/>
  <c r="L132" i="7"/>
  <c r="L116" i="11"/>
  <c r="L183" i="7"/>
  <c r="L121" i="11"/>
  <c r="L55" i="12" s="1"/>
  <c r="L120" i="11"/>
  <c r="L54" i="12" s="1"/>
  <c r="N127" i="11"/>
  <c r="N126" i="11"/>
  <c r="K42" i="7"/>
  <c r="O143" i="7"/>
  <c r="O141" i="7"/>
  <c r="O144" i="7" s="1"/>
  <c r="P48" i="11"/>
  <c r="Q48" i="11" s="1"/>
  <c r="P49" i="11"/>
  <c r="Q49" i="11" s="1"/>
  <c r="P44" i="11"/>
  <c r="C28" i="15"/>
  <c r="E28" i="15" s="1"/>
  <c r="Q53" i="7"/>
  <c r="L11" i="7"/>
  <c r="L13" i="7"/>
  <c r="H12" i="10"/>
  <c r="P76" i="11" l="1"/>
  <c r="Q76" i="11" s="1"/>
  <c r="P75" i="11"/>
  <c r="Q75" i="11" s="1"/>
  <c r="P71" i="11"/>
  <c r="Q71" i="11" s="1"/>
  <c r="Q111" i="7"/>
  <c r="C15" i="15" s="1"/>
  <c r="E15" i="15" s="1"/>
  <c r="P23" i="7"/>
  <c r="Q23" i="7" s="1"/>
  <c r="P114" i="7"/>
  <c r="Q114" i="7" s="1"/>
  <c r="Q111" i="11"/>
  <c r="P112" i="11"/>
  <c r="Q112" i="11" s="1"/>
  <c r="Q123" i="7"/>
  <c r="P107" i="11"/>
  <c r="P108" i="11" s="1"/>
  <c r="Q108" i="11" s="1"/>
  <c r="P52" i="7"/>
  <c r="Q52" i="7" s="1"/>
  <c r="C9" i="15" s="1"/>
  <c r="E9" i="15" s="1"/>
  <c r="P54" i="7"/>
  <c r="Q54" i="7" s="1"/>
  <c r="C16" i="15"/>
  <c r="E16" i="15" s="1"/>
  <c r="O92" i="7"/>
  <c r="P87" i="7" s="1"/>
  <c r="P91" i="7" s="1"/>
  <c r="K17" i="12"/>
  <c r="K36" i="11"/>
  <c r="K18" i="12" s="1"/>
  <c r="K37" i="11"/>
  <c r="K19" i="12" s="1"/>
  <c r="K16" i="13" s="1"/>
  <c r="K164" i="7"/>
  <c r="K189" i="7" s="1"/>
  <c r="K28" i="13" s="1"/>
  <c r="L37" i="7"/>
  <c r="G8" i="13"/>
  <c r="L63" i="11"/>
  <c r="L29" i="12" s="1"/>
  <c r="L64" i="11"/>
  <c r="L30" i="12" s="1"/>
  <c r="L28" i="12"/>
  <c r="O80" i="11"/>
  <c r="O84" i="11"/>
  <c r="O85" i="11"/>
  <c r="O125" i="11"/>
  <c r="O130" i="11"/>
  <c r="O129" i="11"/>
  <c r="M97" i="7"/>
  <c r="L176" i="7"/>
  <c r="L180" i="7"/>
  <c r="O99" i="7"/>
  <c r="O100" i="7" s="1"/>
  <c r="L104" i="7"/>
  <c r="L50" i="12"/>
  <c r="L118" i="11"/>
  <c r="L52" i="12" s="1"/>
  <c r="L117" i="11"/>
  <c r="L51" i="12" s="1"/>
  <c r="Q21" i="7"/>
  <c r="C6" i="15" s="1"/>
  <c r="E6" i="15" s="1"/>
  <c r="P24" i="7"/>
  <c r="Q24" i="7" s="1"/>
  <c r="O119" i="11"/>
  <c r="O53" i="12" s="1"/>
  <c r="O184" i="7"/>
  <c r="O135" i="11"/>
  <c r="O136" i="11"/>
  <c r="O58" i="11"/>
  <c r="O57" i="11"/>
  <c r="O53" i="11"/>
  <c r="L182" i="7"/>
  <c r="M127" i="7"/>
  <c r="O172" i="7"/>
  <c r="O65" i="11"/>
  <c r="O31" i="12" s="1"/>
  <c r="L8" i="11"/>
  <c r="L12" i="11"/>
  <c r="L11" i="12" s="1"/>
  <c r="L159" i="7"/>
  <c r="L13" i="11"/>
  <c r="L12" i="12" s="1"/>
  <c r="O18" i="11"/>
  <c r="O19" i="11"/>
  <c r="P46" i="11"/>
  <c r="Q46" i="11" s="1"/>
  <c r="P45" i="11"/>
  <c r="Q45" i="11" s="1"/>
  <c r="Q44" i="11"/>
  <c r="O142" i="7"/>
  <c r="P137" i="7" s="1"/>
  <c r="L89" i="11"/>
  <c r="L94" i="11"/>
  <c r="L44" i="12" s="1"/>
  <c r="L93" i="11"/>
  <c r="L43" i="12" s="1"/>
  <c r="L177" i="7"/>
  <c r="P153" i="7"/>
  <c r="P151" i="7"/>
  <c r="P152" i="7" s="1"/>
  <c r="Q152" i="7" s="1"/>
  <c r="P100" i="11"/>
  <c r="Q100" i="11" s="1"/>
  <c r="P99" i="11"/>
  <c r="Q99" i="11" s="1"/>
  <c r="Q98" i="11"/>
  <c r="O62" i="7"/>
  <c r="P57" i="7" s="1"/>
  <c r="I6" i="10"/>
  <c r="H14" i="10"/>
  <c r="M67" i="7"/>
  <c r="L170" i="7"/>
  <c r="K190" i="7"/>
  <c r="N38" i="11"/>
  <c r="N20" i="12" s="1"/>
  <c r="N166" i="7"/>
  <c r="N191" i="7" s="1"/>
  <c r="N58" i="12" s="1"/>
  <c r="P7" i="10"/>
  <c r="Q36" i="8"/>
  <c r="L162" i="7"/>
  <c r="O9" i="7"/>
  <c r="O10" i="7" s="1"/>
  <c r="L14" i="7"/>
  <c r="L12" i="7"/>
  <c r="P73" i="11" l="1"/>
  <c r="Q73" i="11" s="1"/>
  <c r="P72" i="11"/>
  <c r="Q72" i="11" s="1"/>
  <c r="Q107" i="11"/>
  <c r="P109" i="11"/>
  <c r="Q109" i="11" s="1"/>
  <c r="P22" i="11"/>
  <c r="Q22" i="11" s="1"/>
  <c r="P21" i="11"/>
  <c r="Q21" i="11" s="1"/>
  <c r="P17" i="11"/>
  <c r="Q17" i="11" s="1"/>
  <c r="P93" i="7"/>
  <c r="P85" i="11" s="1"/>
  <c r="Q85" i="11" s="1"/>
  <c r="O11" i="11"/>
  <c r="O10" i="12" s="1"/>
  <c r="O160" i="7"/>
  <c r="O126" i="11"/>
  <c r="O127" i="11"/>
  <c r="M73" i="7"/>
  <c r="M71" i="7"/>
  <c r="M72" i="7" s="1"/>
  <c r="M133" i="7"/>
  <c r="M131" i="7"/>
  <c r="M132" i="7" s="1"/>
  <c r="L43" i="7"/>
  <c r="L41" i="7"/>
  <c r="L42" i="7" s="1"/>
  <c r="M7" i="7"/>
  <c r="L158" i="7"/>
  <c r="M101" i="7"/>
  <c r="M102" i="7" s="1"/>
  <c r="M103" i="7"/>
  <c r="P24" i="12"/>
  <c r="Q24" i="12" s="1"/>
  <c r="Q7" i="10"/>
  <c r="H6" i="13"/>
  <c r="H46" i="12"/>
  <c r="I8" i="10"/>
  <c r="I11" i="10"/>
  <c r="Q91" i="7"/>
  <c r="P94" i="7"/>
  <c r="Q94" i="7" s="1"/>
  <c r="P92" i="7"/>
  <c r="Q92" i="7" s="1"/>
  <c r="P154" i="7"/>
  <c r="Q154" i="7" s="1"/>
  <c r="Q151" i="7"/>
  <c r="C19" i="15" s="1"/>
  <c r="E19" i="15" s="1"/>
  <c r="O81" i="11"/>
  <c r="O82" i="11"/>
  <c r="K29" i="13"/>
  <c r="K34" i="12"/>
  <c r="K36" i="12" s="1"/>
  <c r="K11" i="13" s="1"/>
  <c r="K56" i="12"/>
  <c r="K59" i="12" s="1"/>
  <c r="K13" i="13" s="1"/>
  <c r="K13" i="12"/>
  <c r="K14" i="12" s="1"/>
  <c r="K9" i="13" s="1"/>
  <c r="K45" i="12"/>
  <c r="L9" i="11"/>
  <c r="L8" i="12" s="1"/>
  <c r="L7" i="12"/>
  <c r="L10" i="11"/>
  <c r="L9" i="12" s="1"/>
  <c r="P138" i="11"/>
  <c r="Q138" i="11" s="1"/>
  <c r="P134" i="11"/>
  <c r="P139" i="11"/>
  <c r="Q139" i="11" s="1"/>
  <c r="Q153" i="7"/>
  <c r="O92" i="11"/>
  <c r="O42" i="12" s="1"/>
  <c r="O178" i="7"/>
  <c r="K23" i="12"/>
  <c r="K25" i="12" s="1"/>
  <c r="K10" i="13" s="1"/>
  <c r="O54" i="11"/>
  <c r="O55" i="11"/>
  <c r="L91" i="11"/>
  <c r="L41" i="12" s="1"/>
  <c r="L39" i="12"/>
  <c r="L90" i="11"/>
  <c r="L40" i="12" s="1"/>
  <c r="P141" i="7"/>
  <c r="P142" i="7" s="1"/>
  <c r="Q142" i="7" s="1"/>
  <c r="P143" i="7"/>
  <c r="G15" i="13"/>
  <c r="G20" i="13"/>
  <c r="P63" i="7"/>
  <c r="P61" i="7"/>
  <c r="P62" i="7" s="1"/>
  <c r="Q62" i="7" s="1"/>
  <c r="P19" i="11" l="1"/>
  <c r="Q19" i="11" s="1"/>
  <c r="P18" i="11"/>
  <c r="Q18" i="11" s="1"/>
  <c r="Q93" i="7"/>
  <c r="P84" i="11"/>
  <c r="Q84" i="11" s="1"/>
  <c r="P80" i="11"/>
  <c r="P82" i="11" s="1"/>
  <c r="Q82" i="11" s="1"/>
  <c r="C13" i="15"/>
  <c r="E13" i="15" s="1"/>
  <c r="C42" i="15"/>
  <c r="E42" i="15" s="1"/>
  <c r="M170" i="7"/>
  <c r="N67" i="7"/>
  <c r="H47" i="12"/>
  <c r="M180" i="7"/>
  <c r="P99" i="7"/>
  <c r="M104" i="7"/>
  <c r="P135" i="11"/>
  <c r="Q135" i="11" s="1"/>
  <c r="P136" i="11"/>
  <c r="Q136" i="11" s="1"/>
  <c r="Q134" i="11"/>
  <c r="M176" i="7"/>
  <c r="N97" i="7"/>
  <c r="I10" i="10"/>
  <c r="I12" i="10" s="1"/>
  <c r="M11" i="7"/>
  <c r="M13" i="7"/>
  <c r="N127" i="7"/>
  <c r="M182" i="7"/>
  <c r="G17" i="13"/>
  <c r="G24" i="13"/>
  <c r="M120" i="11"/>
  <c r="M54" i="12" s="1"/>
  <c r="M183" i="7"/>
  <c r="M116" i="11"/>
  <c r="M121" i="11"/>
  <c r="M55" i="12" s="1"/>
  <c r="H21" i="13"/>
  <c r="H23" i="13"/>
  <c r="H25" i="13"/>
  <c r="H22" i="13"/>
  <c r="P64" i="7"/>
  <c r="Q64" i="7" s="1"/>
  <c r="Q61" i="7"/>
  <c r="C10" i="15" s="1"/>
  <c r="E10" i="15" s="1"/>
  <c r="M186" i="7"/>
  <c r="P129" i="7"/>
  <c r="M134" i="7"/>
  <c r="C41" i="15"/>
  <c r="E41" i="15" s="1"/>
  <c r="F22" i="4"/>
  <c r="M89" i="11"/>
  <c r="M94" i="11"/>
  <c r="M44" i="12" s="1"/>
  <c r="M93" i="11"/>
  <c r="M43" i="12" s="1"/>
  <c r="M177" i="7"/>
  <c r="L164" i="7"/>
  <c r="L189" i="7" s="1"/>
  <c r="L28" i="13" s="1"/>
  <c r="M37" i="7"/>
  <c r="L168" i="7"/>
  <c r="L193" i="7" s="1"/>
  <c r="O39" i="7"/>
  <c r="O40" i="7" s="1"/>
  <c r="L44" i="7"/>
  <c r="L39" i="11"/>
  <c r="L21" i="12" s="1"/>
  <c r="L40" i="11"/>
  <c r="L22" i="12" s="1"/>
  <c r="L165" i="7"/>
  <c r="L35" i="11"/>
  <c r="P58" i="11"/>
  <c r="Q58" i="11" s="1"/>
  <c r="P57" i="11"/>
  <c r="Q57" i="11" s="1"/>
  <c r="P53" i="11"/>
  <c r="Q63" i="7"/>
  <c r="M174" i="7"/>
  <c r="P69" i="7"/>
  <c r="M74" i="7"/>
  <c r="M62" i="11"/>
  <c r="M66" i="11"/>
  <c r="M32" i="12" s="1"/>
  <c r="M171" i="7"/>
  <c r="M67" i="11"/>
  <c r="M33" i="12" s="1"/>
  <c r="P130" i="11"/>
  <c r="Q130" i="11" s="1"/>
  <c r="P129" i="11"/>
  <c r="Q129" i="11" s="1"/>
  <c r="P125" i="11"/>
  <c r="Q143" i="7"/>
  <c r="P144" i="7"/>
  <c r="Q144" i="7" s="1"/>
  <c r="Q141" i="7"/>
  <c r="C18" i="15" s="1"/>
  <c r="E18" i="15" s="1"/>
  <c r="K12" i="13"/>
  <c r="K14" i="13" s="1"/>
  <c r="Q80" i="11" l="1"/>
  <c r="P81" i="11"/>
  <c r="Q81" i="11" s="1"/>
  <c r="M41" i="7"/>
  <c r="M42" i="7" s="1"/>
  <c r="M43" i="7"/>
  <c r="M39" i="12"/>
  <c r="M90" i="11"/>
  <c r="M40" i="12" s="1"/>
  <c r="M91" i="11"/>
  <c r="M41" i="12" s="1"/>
  <c r="M13" i="11"/>
  <c r="M12" i="12" s="1"/>
  <c r="M12" i="11"/>
  <c r="M11" i="12" s="1"/>
  <c r="M8" i="11"/>
  <c r="M159" i="7"/>
  <c r="P130" i="7"/>
  <c r="Q129" i="7"/>
  <c r="M162" i="7"/>
  <c r="P9" i="7"/>
  <c r="M14" i="7"/>
  <c r="M12" i="7"/>
  <c r="N101" i="7"/>
  <c r="N102" i="7" s="1"/>
  <c r="N103" i="7"/>
  <c r="P100" i="7"/>
  <c r="Q99" i="7"/>
  <c r="H7" i="13"/>
  <c r="J6" i="10"/>
  <c r="I14" i="10"/>
  <c r="N73" i="7"/>
  <c r="N71" i="7"/>
  <c r="N72" i="7" s="1"/>
  <c r="N131" i="7"/>
  <c r="N133" i="7"/>
  <c r="P127" i="11"/>
  <c r="Q127" i="11" s="1"/>
  <c r="P126" i="11"/>
  <c r="Q126" i="11" s="1"/>
  <c r="Q125" i="11"/>
  <c r="P55" i="11"/>
  <c r="Q55" i="11" s="1"/>
  <c r="P54" i="11"/>
  <c r="Q54" i="11" s="1"/>
  <c r="Q53" i="11"/>
  <c r="L17" i="12"/>
  <c r="L36" i="11"/>
  <c r="L18" i="12" s="1"/>
  <c r="L37" i="11"/>
  <c r="L19" i="12" s="1"/>
  <c r="L16" i="13" s="1"/>
  <c r="M50" i="12"/>
  <c r="M118" i="11"/>
  <c r="M52" i="12" s="1"/>
  <c r="M117" i="11"/>
  <c r="M51" i="12" s="1"/>
  <c r="O166" i="7"/>
  <c r="O191" i="7" s="1"/>
  <c r="O58" i="12" s="1"/>
  <c r="O38" i="11"/>
  <c r="O20" i="12" s="1"/>
  <c r="M63" i="11"/>
  <c r="M29" i="12" s="1"/>
  <c r="M64" i="11"/>
  <c r="M30" i="12" s="1"/>
  <c r="M28" i="12"/>
  <c r="P70" i="7"/>
  <c r="Q69" i="7"/>
  <c r="L190" i="7"/>
  <c r="O97" i="7" l="1"/>
  <c r="N176" i="7"/>
  <c r="M164" i="7"/>
  <c r="N37" i="7"/>
  <c r="I46" i="12"/>
  <c r="I6" i="13"/>
  <c r="N170" i="7"/>
  <c r="O67" i="7"/>
  <c r="L29" i="13"/>
  <c r="L56" i="12"/>
  <c r="L59" i="12" s="1"/>
  <c r="L13" i="13" s="1"/>
  <c r="L34" i="12"/>
  <c r="L36" i="12" s="1"/>
  <c r="L11" i="13" s="1"/>
  <c r="L13" i="12"/>
  <c r="L14" i="12" s="1"/>
  <c r="L9" i="13" s="1"/>
  <c r="L45" i="12"/>
  <c r="H8" i="13"/>
  <c r="P10" i="7"/>
  <c r="Q9" i="7"/>
  <c r="N66" i="11"/>
  <c r="N32" i="12" s="1"/>
  <c r="N171" i="7"/>
  <c r="N62" i="11"/>
  <c r="N67" i="11"/>
  <c r="N33" i="12" s="1"/>
  <c r="N7" i="7"/>
  <c r="M158" i="7"/>
  <c r="M35" i="11"/>
  <c r="M39" i="11"/>
  <c r="M21" i="12" s="1"/>
  <c r="M40" i="11"/>
  <c r="M22" i="12" s="1"/>
  <c r="M165" i="7"/>
  <c r="P184" i="7"/>
  <c r="Q184" i="7" s="1"/>
  <c r="P119" i="11"/>
  <c r="Q130" i="7"/>
  <c r="M9" i="11"/>
  <c r="M8" i="12" s="1"/>
  <c r="M7" i="12"/>
  <c r="M10" i="11"/>
  <c r="M9" i="12" s="1"/>
  <c r="N186" i="7"/>
  <c r="N134" i="7"/>
  <c r="P172" i="7"/>
  <c r="Q172" i="7" s="1"/>
  <c r="P65" i="11"/>
  <c r="Q70" i="7"/>
  <c r="M168" i="7"/>
  <c r="M193" i="7" s="1"/>
  <c r="P39" i="7"/>
  <c r="M44" i="7"/>
  <c r="N174" i="7"/>
  <c r="N74" i="7"/>
  <c r="J8" i="10"/>
  <c r="J10" i="10" s="1"/>
  <c r="J11" i="10"/>
  <c r="L23" i="12"/>
  <c r="L25" i="12" s="1"/>
  <c r="L10" i="13" s="1"/>
  <c r="P92" i="11"/>
  <c r="P178" i="7"/>
  <c r="Q178" i="7" s="1"/>
  <c r="Q100" i="7"/>
  <c r="N93" i="11"/>
  <c r="N43" i="12" s="1"/>
  <c r="N94" i="11"/>
  <c r="N44" i="12" s="1"/>
  <c r="N89" i="11"/>
  <c r="N177" i="7"/>
  <c r="N180" i="7"/>
  <c r="N104" i="7"/>
  <c r="N121" i="11"/>
  <c r="N55" i="12" s="1"/>
  <c r="N116" i="11"/>
  <c r="N183" i="7"/>
  <c r="N120" i="11"/>
  <c r="N54" i="12" s="1"/>
  <c r="N132" i="7"/>
  <c r="M189" i="7" l="1"/>
  <c r="M28" i="13" s="1"/>
  <c r="L12" i="13"/>
  <c r="L14" i="13" s="1"/>
  <c r="J12" i="10"/>
  <c r="K6" i="10" s="1"/>
  <c r="N90" i="11"/>
  <c r="N40" i="12" s="1"/>
  <c r="N39" i="12"/>
  <c r="N91" i="11"/>
  <c r="N41" i="12" s="1"/>
  <c r="P42" i="12"/>
  <c r="Q42" i="12" s="1"/>
  <c r="Q92" i="11"/>
  <c r="O127" i="7"/>
  <c r="N182" i="7"/>
  <c r="I47" i="12"/>
  <c r="N13" i="7"/>
  <c r="N11" i="7"/>
  <c r="P31" i="12"/>
  <c r="Q31" i="12" s="1"/>
  <c r="Q65" i="11"/>
  <c r="O73" i="7"/>
  <c r="O71" i="7"/>
  <c r="N43" i="7"/>
  <c r="N41" i="7"/>
  <c r="N42" i="7" s="1"/>
  <c r="P53" i="12"/>
  <c r="Q53" i="12" s="1"/>
  <c r="Q119" i="11"/>
  <c r="N63" i="11"/>
  <c r="N29" i="12" s="1"/>
  <c r="N64" i="11"/>
  <c r="N30" i="12" s="1"/>
  <c r="N28" i="12"/>
  <c r="H15" i="13"/>
  <c r="H20" i="13"/>
  <c r="P40" i="7"/>
  <c r="Q39" i="7"/>
  <c r="P160" i="7"/>
  <c r="P11" i="11"/>
  <c r="Q10" i="7"/>
  <c r="I25" i="13"/>
  <c r="I21" i="13"/>
  <c r="I23" i="13"/>
  <c r="I22" i="13"/>
  <c r="M17" i="12"/>
  <c r="M36" i="11"/>
  <c r="M18" i="12" s="1"/>
  <c r="M37" i="11"/>
  <c r="M19" i="12" s="1"/>
  <c r="M16" i="13" s="1"/>
  <c r="N50" i="12"/>
  <c r="N118" i="11"/>
  <c r="N52" i="12" s="1"/>
  <c r="N117" i="11"/>
  <c r="N51" i="12" s="1"/>
  <c r="M190" i="7"/>
  <c r="O101" i="7"/>
  <c r="O103" i="7"/>
  <c r="J14" i="10" l="1"/>
  <c r="J6" i="13" s="1"/>
  <c r="O180" i="7"/>
  <c r="O104" i="7"/>
  <c r="M29" i="13"/>
  <c r="M45" i="12"/>
  <c r="M56" i="12"/>
  <c r="M59" i="12" s="1"/>
  <c r="M13" i="13" s="1"/>
  <c r="M34" i="12"/>
  <c r="M36" i="12" s="1"/>
  <c r="M11" i="13" s="1"/>
  <c r="M13" i="12"/>
  <c r="M14" i="12" s="1"/>
  <c r="M9" i="13" s="1"/>
  <c r="O174" i="7"/>
  <c r="O74" i="7"/>
  <c r="O72" i="7"/>
  <c r="P10" i="12"/>
  <c r="Q10" i="12" s="1"/>
  <c r="Q11" i="11"/>
  <c r="O89" i="11"/>
  <c r="O94" i="11"/>
  <c r="O44" i="12" s="1"/>
  <c r="O93" i="11"/>
  <c r="O43" i="12" s="1"/>
  <c r="O177" i="7"/>
  <c r="O102" i="7"/>
  <c r="N168" i="7"/>
  <c r="N44" i="7"/>
  <c r="N39" i="11"/>
  <c r="N21" i="12" s="1"/>
  <c r="N40" i="11"/>
  <c r="N22" i="12" s="1"/>
  <c r="N165" i="7"/>
  <c r="N35" i="11"/>
  <c r="O67" i="11"/>
  <c r="O33" i="12" s="1"/>
  <c r="O66" i="11"/>
  <c r="O32" i="12" s="1"/>
  <c r="O171" i="7"/>
  <c r="O62" i="11"/>
  <c r="N162" i="7"/>
  <c r="N14" i="7"/>
  <c r="O133" i="7"/>
  <c r="O131" i="7"/>
  <c r="N8" i="11"/>
  <c r="N12" i="11"/>
  <c r="N11" i="12" s="1"/>
  <c r="N159" i="7"/>
  <c r="N13" i="11"/>
  <c r="N12" i="12" s="1"/>
  <c r="M23" i="12"/>
  <c r="M25" i="12" s="1"/>
  <c r="M10" i="13" s="1"/>
  <c r="H24" i="13"/>
  <c r="H17" i="13"/>
  <c r="N164" i="7"/>
  <c r="O37" i="7"/>
  <c r="N12" i="7"/>
  <c r="K8" i="10"/>
  <c r="K10" i="10" s="1"/>
  <c r="K11" i="10"/>
  <c r="I7" i="13"/>
  <c r="Q160" i="7"/>
  <c r="P38" i="11"/>
  <c r="P166" i="7"/>
  <c r="Q166" i="7" s="1"/>
  <c r="Q40" i="7"/>
  <c r="J46" i="12" l="1"/>
  <c r="J47" i="12" s="1"/>
  <c r="J7" i="13" s="1"/>
  <c r="J8" i="13" s="1"/>
  <c r="N193" i="7"/>
  <c r="M12" i="13"/>
  <c r="M14" i="13" s="1"/>
  <c r="K12" i="10"/>
  <c r="L6" i="10" s="1"/>
  <c r="N17" i="12"/>
  <c r="N36" i="11"/>
  <c r="N18" i="12" s="1"/>
  <c r="N37" i="11"/>
  <c r="N19" i="12" s="1"/>
  <c r="P20" i="12"/>
  <c r="Q20" i="12" s="1"/>
  <c r="Q38" i="11"/>
  <c r="P191" i="7"/>
  <c r="J25" i="13"/>
  <c r="J23" i="13"/>
  <c r="J21" i="13"/>
  <c r="J22" i="13"/>
  <c r="N190" i="7"/>
  <c r="N13" i="12" s="1"/>
  <c r="O176" i="7"/>
  <c r="P97" i="7"/>
  <c r="O39" i="12"/>
  <c r="O90" i="11"/>
  <c r="O40" i="12" s="1"/>
  <c r="O91" i="11"/>
  <c r="O41" i="12" s="1"/>
  <c r="O43" i="7"/>
  <c r="O41" i="7"/>
  <c r="O42" i="7" s="1"/>
  <c r="P67" i="7"/>
  <c r="O170" i="7"/>
  <c r="O186" i="7"/>
  <c r="O134" i="7"/>
  <c r="O63" i="11"/>
  <c r="O29" i="12" s="1"/>
  <c r="O64" i="11"/>
  <c r="O30" i="12" s="1"/>
  <c r="O28" i="12"/>
  <c r="I8" i="13"/>
  <c r="O7" i="7"/>
  <c r="N158" i="7"/>
  <c r="N189" i="7" s="1"/>
  <c r="N28" i="13" s="1"/>
  <c r="N9" i="11"/>
  <c r="N8" i="12" s="1"/>
  <c r="N7" i="12"/>
  <c r="N10" i="11"/>
  <c r="N9" i="12" s="1"/>
  <c r="O120" i="11"/>
  <c r="O54" i="12" s="1"/>
  <c r="O121" i="11"/>
  <c r="O55" i="12" s="1"/>
  <c r="O183" i="7"/>
  <c r="O116" i="11"/>
  <c r="O132" i="7"/>
  <c r="K14" i="10" l="1"/>
  <c r="K46" i="12" s="1"/>
  <c r="K47" i="12" s="1"/>
  <c r="K7" i="13" s="1"/>
  <c r="N16" i="13"/>
  <c r="O164" i="7"/>
  <c r="P37" i="7"/>
  <c r="P73" i="7"/>
  <c r="P71" i="7"/>
  <c r="P101" i="7"/>
  <c r="P102" i="7" s="1"/>
  <c r="P103" i="7"/>
  <c r="P127" i="7"/>
  <c r="O182" i="7"/>
  <c r="O50" i="12"/>
  <c r="O118" i="11"/>
  <c r="O52" i="12" s="1"/>
  <c r="O117" i="11"/>
  <c r="O51" i="12" s="1"/>
  <c r="J20" i="13"/>
  <c r="J15" i="13"/>
  <c r="O13" i="7"/>
  <c r="O11" i="7"/>
  <c r="O12" i="7" s="1"/>
  <c r="O39" i="11"/>
  <c r="O21" i="12" s="1"/>
  <c r="O165" i="7"/>
  <c r="O40" i="11"/>
  <c r="O22" i="12" s="1"/>
  <c r="O35" i="11"/>
  <c r="P58" i="12"/>
  <c r="Q58" i="12" s="1"/>
  <c r="Q191" i="7"/>
  <c r="N29" i="13"/>
  <c r="N45" i="12"/>
  <c r="N34" i="12"/>
  <c r="N36" i="12" s="1"/>
  <c r="N11" i="13" s="1"/>
  <c r="N56" i="12"/>
  <c r="N59" i="12" s="1"/>
  <c r="N13" i="13" s="1"/>
  <c r="N14" i="12"/>
  <c r="N9" i="13" s="1"/>
  <c r="I15" i="13"/>
  <c r="I20" i="13"/>
  <c r="O168" i="7"/>
  <c r="O44" i="7"/>
  <c r="N23" i="12"/>
  <c r="N25" i="12" s="1"/>
  <c r="N10" i="13" s="1"/>
  <c r="L8" i="10"/>
  <c r="L10" i="10" s="1"/>
  <c r="L11" i="10"/>
  <c r="K6" i="13" l="1"/>
  <c r="K25" i="13" s="1"/>
  <c r="L12" i="10"/>
  <c r="M6" i="10" s="1"/>
  <c r="M11" i="10" s="1"/>
  <c r="N12" i="13"/>
  <c r="N14" i="13" s="1"/>
  <c r="Q102" i="7"/>
  <c r="P176" i="7"/>
  <c r="O37" i="11"/>
  <c r="O19" i="12" s="1"/>
  <c r="O36" i="11"/>
  <c r="O18" i="12" s="1"/>
  <c r="O17" i="12"/>
  <c r="P174" i="7"/>
  <c r="Q174" i="7" s="1"/>
  <c r="Q71" i="7"/>
  <c r="P74" i="7"/>
  <c r="Q74" i="7" s="1"/>
  <c r="O162" i="7"/>
  <c r="O193" i="7" s="1"/>
  <c r="O14" i="7"/>
  <c r="O13" i="11"/>
  <c r="O12" i="12" s="1"/>
  <c r="O12" i="11"/>
  <c r="O11" i="12" s="1"/>
  <c r="O8" i="11"/>
  <c r="O159" i="7"/>
  <c r="P131" i="7"/>
  <c r="P132" i="7" s="1"/>
  <c r="P133" i="7"/>
  <c r="P72" i="7"/>
  <c r="P62" i="11"/>
  <c r="P66" i="11"/>
  <c r="P67" i="11"/>
  <c r="P171" i="7"/>
  <c r="Q73" i="7"/>
  <c r="P180" i="7"/>
  <c r="Q180" i="7" s="1"/>
  <c r="P104" i="7"/>
  <c r="Q104" i="7" s="1"/>
  <c r="Q101" i="7"/>
  <c r="P43" i="7"/>
  <c r="P41" i="7"/>
  <c r="P42" i="7" s="1"/>
  <c r="O158" i="7"/>
  <c r="O189" i="7" s="1"/>
  <c r="O28" i="13" s="1"/>
  <c r="P7" i="7"/>
  <c r="J24" i="13"/>
  <c r="J17" i="13"/>
  <c r="P93" i="11"/>
  <c r="P94" i="11"/>
  <c r="P89" i="11"/>
  <c r="P177" i="7"/>
  <c r="Q103" i="7"/>
  <c r="I17" i="13"/>
  <c r="I24" i="13"/>
  <c r="K8" i="13" l="1"/>
  <c r="K15" i="13" s="1"/>
  <c r="K23" i="13"/>
  <c r="K22" i="13"/>
  <c r="K21" i="13"/>
  <c r="M8" i="10"/>
  <c r="M10" i="10" s="1"/>
  <c r="M12" i="10" s="1"/>
  <c r="L14" i="10"/>
  <c r="L46" i="12" s="1"/>
  <c r="L47" i="12" s="1"/>
  <c r="L7" i="13" s="1"/>
  <c r="Q132" i="7"/>
  <c r="P182" i="7"/>
  <c r="Q171" i="7"/>
  <c r="P32" i="12"/>
  <c r="Q32" i="12" s="1"/>
  <c r="Q66" i="11"/>
  <c r="Q72" i="7"/>
  <c r="C11" i="15" s="1"/>
  <c r="E11" i="15" s="1"/>
  <c r="P170" i="7"/>
  <c r="P33" i="12"/>
  <c r="Q33" i="12" s="1"/>
  <c r="Q67" i="11"/>
  <c r="P44" i="12"/>
  <c r="Q44" i="12" s="1"/>
  <c r="Q94" i="11"/>
  <c r="O7" i="12"/>
  <c r="O10" i="11"/>
  <c r="O9" i="12" s="1"/>
  <c r="O16" i="13" s="1"/>
  <c r="O9" i="11"/>
  <c r="O8" i="12" s="1"/>
  <c r="P186" i="7"/>
  <c r="Q186" i="7" s="1"/>
  <c r="Q131" i="7"/>
  <c r="P134" i="7"/>
  <c r="Q134" i="7" s="1"/>
  <c r="P121" i="11"/>
  <c r="P120" i="11"/>
  <c r="P116" i="11"/>
  <c r="P183" i="7"/>
  <c r="Q133" i="7"/>
  <c r="Q177" i="7"/>
  <c r="O190" i="7"/>
  <c r="O13" i="12" s="1"/>
  <c r="P164" i="7"/>
  <c r="Q42" i="7"/>
  <c r="P168" i="7"/>
  <c r="Q168" i="7" s="1"/>
  <c r="Q41" i="7"/>
  <c r="P44" i="7"/>
  <c r="Q44" i="7" s="1"/>
  <c r="P40" i="11"/>
  <c r="P165" i="7"/>
  <c r="P39" i="11"/>
  <c r="P35" i="11"/>
  <c r="Q43" i="7"/>
  <c r="C24" i="15"/>
  <c r="E24" i="15" s="1"/>
  <c r="Q176" i="7"/>
  <c r="P63" i="11"/>
  <c r="P28" i="12"/>
  <c r="P64" i="11"/>
  <c r="Q62" i="11"/>
  <c r="P90" i="11"/>
  <c r="P39" i="12"/>
  <c r="P91" i="11"/>
  <c r="Q89" i="11"/>
  <c r="P43" i="12"/>
  <c r="Q43" i="12" s="1"/>
  <c r="Q93" i="11"/>
  <c r="P13" i="7"/>
  <c r="P11" i="7"/>
  <c r="C14" i="15"/>
  <c r="E14" i="15" s="1"/>
  <c r="K20" i="13" l="1"/>
  <c r="L6" i="13"/>
  <c r="L25" i="13" s="1"/>
  <c r="N6" i="10"/>
  <c r="M14" i="10"/>
  <c r="M6" i="13" s="1"/>
  <c r="Q39" i="12"/>
  <c r="K24" i="13"/>
  <c r="K17" i="13"/>
  <c r="P41" i="12"/>
  <c r="Q41" i="12" s="1"/>
  <c r="Q91" i="11"/>
  <c r="P55" i="12"/>
  <c r="Q55" i="12" s="1"/>
  <c r="Q121" i="11"/>
  <c r="Q28" i="12"/>
  <c r="P162" i="7"/>
  <c r="Q11" i="7"/>
  <c r="P14" i="7"/>
  <c r="Q14" i="7" s="1"/>
  <c r="P8" i="11"/>
  <c r="P12" i="11"/>
  <c r="P159" i="7"/>
  <c r="P13" i="11"/>
  <c r="Q13" i="7"/>
  <c r="P40" i="12"/>
  <c r="Q40" i="12" s="1"/>
  <c r="Q90" i="11"/>
  <c r="P29" i="12"/>
  <c r="Q29" i="12" s="1"/>
  <c r="Q63" i="11"/>
  <c r="P37" i="11"/>
  <c r="P36" i="11"/>
  <c r="P17" i="12"/>
  <c r="Q35" i="11"/>
  <c r="P22" i="12"/>
  <c r="Q22" i="12" s="1"/>
  <c r="Q40" i="11"/>
  <c r="P118" i="11"/>
  <c r="P50" i="12"/>
  <c r="P117" i="11"/>
  <c r="Q116" i="11"/>
  <c r="Q183" i="7"/>
  <c r="P54" i="12"/>
  <c r="Q54" i="12" s="1"/>
  <c r="Q120" i="11"/>
  <c r="P30" i="12"/>
  <c r="Q30" i="12" s="1"/>
  <c r="Q64" i="11"/>
  <c r="O14" i="12"/>
  <c r="O9" i="13" s="1"/>
  <c r="P21" i="12"/>
  <c r="Q21" i="12" s="1"/>
  <c r="Q39" i="11"/>
  <c r="Q165" i="7"/>
  <c r="C22" i="15"/>
  <c r="E22" i="15" s="1"/>
  <c r="Q164" i="7"/>
  <c r="C25" i="15"/>
  <c r="E25" i="15" s="1"/>
  <c r="Q182" i="7"/>
  <c r="P12" i="7"/>
  <c r="C20" i="15" s="1"/>
  <c r="E20" i="15" s="1"/>
  <c r="C23" i="15"/>
  <c r="E23" i="15" s="1"/>
  <c r="Q170" i="7"/>
  <c r="C8" i="15"/>
  <c r="E8" i="15" s="1"/>
  <c r="O29" i="13"/>
  <c r="O45" i="12"/>
  <c r="O34" i="12"/>
  <c r="O36" i="12" s="1"/>
  <c r="O11" i="13" s="1"/>
  <c r="O56" i="12"/>
  <c r="O59" i="12" s="1"/>
  <c r="O13" i="13" s="1"/>
  <c r="O23" i="12"/>
  <c r="O25" i="12" s="1"/>
  <c r="O10" i="13" s="1"/>
  <c r="C17" i="15"/>
  <c r="E17" i="15" s="1"/>
  <c r="L22" i="13" l="1"/>
  <c r="L21" i="13"/>
  <c r="L23" i="13"/>
  <c r="L8" i="13"/>
  <c r="L15" i="13" s="1"/>
  <c r="M46" i="12"/>
  <c r="M47" i="12" s="1"/>
  <c r="M7" i="13" s="1"/>
  <c r="M8" i="13" s="1"/>
  <c r="N8" i="10"/>
  <c r="N10" i="10" s="1"/>
  <c r="N11" i="10"/>
  <c r="O12" i="13"/>
  <c r="O14" i="13" s="1"/>
  <c r="P18" i="12"/>
  <c r="Q18" i="12" s="1"/>
  <c r="Q36" i="11"/>
  <c r="Q12" i="7"/>
  <c r="C5" i="15" s="1"/>
  <c r="E5" i="15" s="1"/>
  <c r="P158" i="7"/>
  <c r="P190" i="7"/>
  <c r="Q159" i="7"/>
  <c r="M25" i="13"/>
  <c r="M23" i="13"/>
  <c r="M22" i="13"/>
  <c r="M21" i="13"/>
  <c r="P11" i="12"/>
  <c r="Q11" i="12" s="1"/>
  <c r="Q12" i="11"/>
  <c r="P9" i="11"/>
  <c r="P7" i="12"/>
  <c r="P10" i="11"/>
  <c r="Q8" i="11"/>
  <c r="P51" i="12"/>
  <c r="Q51" i="12" s="1"/>
  <c r="Q117" i="11"/>
  <c r="P19" i="12"/>
  <c r="Q19" i="12" s="1"/>
  <c r="Q37" i="11"/>
  <c r="Q50" i="12"/>
  <c r="Q17" i="12"/>
  <c r="P12" i="12"/>
  <c r="Q12" i="12" s="1"/>
  <c r="Q13" i="11"/>
  <c r="P193" i="7"/>
  <c r="Q193" i="7" s="1"/>
  <c r="Q162" i="7"/>
  <c r="P52" i="12"/>
  <c r="Q52" i="12" s="1"/>
  <c r="Q118" i="11"/>
  <c r="L20" i="13" l="1"/>
  <c r="N12" i="10"/>
  <c r="C32" i="15"/>
  <c r="E32" i="15" s="1"/>
  <c r="P9" i="12"/>
  <c r="Q10" i="11"/>
  <c r="P29" i="13"/>
  <c r="Q29" i="13" s="1"/>
  <c r="Q190" i="7"/>
  <c r="P45" i="12"/>
  <c r="P34" i="12"/>
  <c r="P56" i="12"/>
  <c r="P23" i="12"/>
  <c r="M20" i="13"/>
  <c r="M15" i="13"/>
  <c r="P8" i="12"/>
  <c r="Q8" i="12" s="1"/>
  <c r="Q9" i="11"/>
  <c r="Q7" i="12"/>
  <c r="P13" i="12"/>
  <c r="Q13" i="12" s="1"/>
  <c r="C21" i="15"/>
  <c r="E21" i="15" s="1"/>
  <c r="P189" i="7"/>
  <c r="Q158" i="7"/>
  <c r="L24" i="13"/>
  <c r="L17" i="13"/>
  <c r="O6" i="10" l="1"/>
  <c r="N14" i="10"/>
  <c r="Q23" i="12"/>
  <c r="P25" i="12"/>
  <c r="Q34" i="12"/>
  <c r="P36" i="12"/>
  <c r="P28" i="13"/>
  <c r="Q28" i="13" s="1"/>
  <c r="H22" i="4" s="1"/>
  <c r="Q189" i="7"/>
  <c r="C26" i="15" s="1"/>
  <c r="E26" i="15" s="1"/>
  <c r="C29" i="15"/>
  <c r="E29" i="15" s="1"/>
  <c r="P14" i="12"/>
  <c r="M17" i="13"/>
  <c r="M24" i="13"/>
  <c r="Q45" i="12"/>
  <c r="Q56" i="12"/>
  <c r="P59" i="12"/>
  <c r="P16" i="13"/>
  <c r="Q9" i="12"/>
  <c r="Q31" i="13" s="1"/>
  <c r="N6" i="13" l="1"/>
  <c r="N46" i="12"/>
  <c r="N47" i="12" s="1"/>
  <c r="N7" i="13" s="1"/>
  <c r="O8" i="10"/>
  <c r="O10" i="10" s="1"/>
  <c r="O11" i="10"/>
  <c r="C33" i="15"/>
  <c r="E33" i="15" s="1"/>
  <c r="P10" i="13"/>
  <c r="Q25" i="12"/>
  <c r="Q16" i="13"/>
  <c r="P11" i="13"/>
  <c r="Q11" i="13" s="1"/>
  <c r="Q36" i="12"/>
  <c r="P13" i="13"/>
  <c r="Q59" i="12"/>
  <c r="P9" i="13"/>
  <c r="Q14" i="12"/>
  <c r="C31" i="15"/>
  <c r="E31" i="15" s="1"/>
  <c r="O12" i="10" l="1"/>
  <c r="P6" i="10" s="1"/>
  <c r="N8" i="13"/>
  <c r="N22" i="13"/>
  <c r="N25" i="13"/>
  <c r="N23" i="13"/>
  <c r="N21" i="13"/>
  <c r="Q9" i="13"/>
  <c r="Q13" i="13"/>
  <c r="P12" i="13"/>
  <c r="Q10" i="13"/>
  <c r="O14" i="10" l="1"/>
  <c r="O46" i="12" s="1"/>
  <c r="O47" i="12" s="1"/>
  <c r="O7" i="13" s="1"/>
  <c r="N20" i="13"/>
  <c r="N15" i="13"/>
  <c r="P8" i="10"/>
  <c r="C39" i="15"/>
  <c r="E39" i="15" s="1"/>
  <c r="P11" i="10"/>
  <c r="Q11" i="10" s="1"/>
  <c r="Q12" i="13"/>
  <c r="P14" i="13"/>
  <c r="Q14" i="13" s="1"/>
  <c r="O6" i="13" l="1"/>
  <c r="O25" i="13" s="1"/>
  <c r="P10" i="10"/>
  <c r="Q8" i="10"/>
  <c r="N24" i="13"/>
  <c r="N17" i="13"/>
  <c r="O21" i="13" l="1"/>
  <c r="O8" i="13"/>
  <c r="O15" i="13" s="1"/>
  <c r="O22" i="13"/>
  <c r="O23" i="13"/>
  <c r="P12" i="10"/>
  <c r="Q10" i="10"/>
  <c r="O20" i="13" l="1"/>
  <c r="Q12" i="10"/>
  <c r="P14" i="10"/>
  <c r="O24" i="13"/>
  <c r="O17" i="13"/>
  <c r="P46" i="12" l="1"/>
  <c r="Q14" i="10"/>
  <c r="P6" i="13"/>
  <c r="C38" i="15"/>
  <c r="E38" i="15" s="1"/>
  <c r="C71" i="5"/>
  <c r="C45" i="5"/>
  <c r="G22" i="4"/>
  <c r="H48" i="5" l="1"/>
  <c r="G58" i="5"/>
  <c r="H50" i="5"/>
  <c r="H51" i="5"/>
  <c r="H54" i="5"/>
  <c r="G46" i="5"/>
  <c r="H57" i="5"/>
  <c r="H58" i="5"/>
  <c r="H53" i="5"/>
  <c r="G50" i="5"/>
  <c r="G52" i="5"/>
  <c r="G49" i="5"/>
  <c r="G55" i="5"/>
  <c r="G54" i="5"/>
  <c r="H46" i="5"/>
  <c r="G57" i="5"/>
  <c r="H52" i="5"/>
  <c r="G48" i="5"/>
  <c r="H55" i="5"/>
  <c r="H56" i="5"/>
  <c r="G53" i="5"/>
  <c r="G56" i="5"/>
  <c r="H49" i="5"/>
  <c r="G47" i="5"/>
  <c r="H59" i="5"/>
  <c r="G51" i="5"/>
  <c r="H47" i="5"/>
  <c r="G59" i="5"/>
  <c r="Q6" i="13"/>
  <c r="P25" i="13"/>
  <c r="P23" i="13"/>
  <c r="P21" i="13"/>
  <c r="P22" i="13"/>
  <c r="Q46" i="12"/>
  <c r="P47" i="12"/>
  <c r="I51" i="5" l="1"/>
  <c r="I53" i="5"/>
  <c r="I59" i="5"/>
  <c r="I57" i="5"/>
  <c r="I48" i="5"/>
  <c r="I54" i="5"/>
  <c r="I50" i="5"/>
  <c r="I56" i="5"/>
  <c r="C40" i="15"/>
  <c r="E40" i="15" s="1"/>
  <c r="Q25" i="13"/>
  <c r="C10" i="14" s="1"/>
  <c r="E10" i="14" s="1"/>
  <c r="Q21" i="13"/>
  <c r="C6" i="14" s="1"/>
  <c r="Q22" i="13"/>
  <c r="C7" i="14" s="1"/>
  <c r="Q30" i="13"/>
  <c r="C11" i="14" s="1"/>
  <c r="D22" i="4"/>
  <c r="Q23" i="13"/>
  <c r="C8" i="14" s="1"/>
  <c r="I47" i="5"/>
  <c r="I55" i="5"/>
  <c r="C43" i="15"/>
  <c r="E43" i="15" s="1"/>
  <c r="I49" i="5"/>
  <c r="I52" i="5"/>
  <c r="I46" i="5"/>
  <c r="Q47" i="12"/>
  <c r="C35" i="15" s="1"/>
  <c r="E35" i="15" s="1"/>
  <c r="P7" i="13"/>
  <c r="I58" i="5"/>
  <c r="E11" i="14" l="1"/>
  <c r="F11" i="14"/>
  <c r="E8" i="14"/>
  <c r="F8" i="14"/>
  <c r="F6" i="14"/>
  <c r="E6" i="14"/>
  <c r="Q7" i="13"/>
  <c r="P8" i="13"/>
  <c r="F7" i="14"/>
  <c r="E7" i="14"/>
  <c r="C34" i="15" l="1"/>
  <c r="E34" i="15" s="1"/>
  <c r="E22" i="4"/>
  <c r="P20" i="13"/>
  <c r="P15" i="13"/>
  <c r="Q8" i="13"/>
  <c r="P24" i="13" l="1"/>
  <c r="Q15" i="13"/>
  <c r="C36" i="15" s="1"/>
  <c r="E36" i="15" s="1"/>
  <c r="P17" i="13"/>
  <c r="Q17" i="13" s="1"/>
  <c r="Q20" i="13"/>
  <c r="C5" i="14" s="1"/>
  <c r="E5" i="14" l="1"/>
  <c r="F5" i="14"/>
  <c r="C37" i="15"/>
  <c r="E37" i="15" s="1"/>
  <c r="C45" i="15" s="1"/>
  <c r="B11" i="1" s="1"/>
  <c r="J22" i="4"/>
  <c r="Q24" i="13"/>
  <c r="C9" i="14" s="1"/>
  <c r="C28" i="5"/>
  <c r="C62" i="5"/>
  <c r="C22" i="4"/>
  <c r="F9" i="14" l="1"/>
  <c r="E9" i="14"/>
  <c r="H35" i="5"/>
  <c r="H31" i="5"/>
  <c r="H30" i="5"/>
  <c r="H39" i="5"/>
  <c r="G39" i="5"/>
  <c r="H36" i="5"/>
  <c r="H33" i="5"/>
  <c r="G32" i="5"/>
  <c r="H42" i="5"/>
  <c r="G41" i="5"/>
  <c r="G30" i="5"/>
  <c r="G40" i="5"/>
  <c r="H37" i="5"/>
  <c r="G34" i="5"/>
  <c r="H32" i="5"/>
  <c r="G29" i="5"/>
  <c r="G31" i="5"/>
  <c r="G35" i="5"/>
  <c r="H38" i="5"/>
  <c r="G37" i="5"/>
  <c r="H34" i="5"/>
  <c r="G36" i="5"/>
  <c r="G42" i="5"/>
  <c r="H40" i="5"/>
  <c r="H41" i="5"/>
  <c r="G38" i="5"/>
  <c r="G33" i="5"/>
  <c r="H29" i="5"/>
  <c r="I42" i="5" l="1"/>
  <c r="I33" i="5"/>
  <c r="I35" i="5"/>
  <c r="I31" i="5"/>
  <c r="I36" i="5"/>
  <c r="I38" i="5"/>
  <c r="I30" i="5"/>
  <c r="I37" i="5"/>
  <c r="I39" i="5"/>
  <c r="I29" i="5"/>
  <c r="I40" i="5"/>
  <c r="I34" i="5"/>
  <c r="I32" i="5"/>
  <c r="I41" i="5"/>
</calcChain>
</file>

<file path=xl/sharedStrings.xml><?xml version="1.0" encoding="utf-8"?>
<sst xmlns="http://schemas.openxmlformats.org/spreadsheetml/2006/main" count="1962" uniqueCount="629">
  <si>
    <t>Tillbrook Software · FY2027 headcount and operating-expense plan</t>
  </si>
  <si>
    <t>Tillbrook Software is a made-up company: a B2B software company with about 300 people, invented for this plan because no company publishes its hiring plan by team.</t>
  </si>
  <si>
    <t>The anchors are real and public: base pay from BLS Occupational Employment and Wage Statistics for the San Francisco-Oakland-Fremont area (May 2025), raised to 2027 with the BLS Employment Cost Index; the benefits load from BLS Employer Costs for Employee Compensation; revenue per employee and the opex targets from public software companies' 10-K filings (SEC EDGAR). Every anchor's series id or accession number is on the Sources sheet.</t>
  </si>
  <si>
    <t>How it works: Inputs → Hires (when each hire lands) → Headcount (roll-forward by role) → Sales_Capacity (AE cohorts → new ARR) → Roadmap (when the module ships) → ARR (bridge → revenue) → Comp (people cost by role) → Opex (by department) → PnL → Targets. Tradeoffs and Sensitivity are Excel data tables over the live model.</t>
  </si>
  <si>
    <t>To try a change, edit a blue cell on Inputs. The three page sliders are Inputs rows: hiring delay, attrition, quota attainment.</t>
  </si>
  <si>
    <t>Integrity checks:</t>
  </si>
  <si>
    <t>Targets used: benchmark. Benchmark (projects/opex-benchmark/out/targets.json): SEC XBRL data (data.sec.gov companyfacts), latest 10-K fiscal year ending Jan 2025 to Jan 2026, 124 US-listed SIC 7372 software companies with revenue of $100M or more; GAAP, so every line includes stock-based compensation. S&amp;M 37.3%: the median of the benchmark's growth third 3 (median revenue growth 25.8%, n=38), the third nearest the plan's 30% ARR growth; the all-growth median is 33.2%; R&amp;D 26.7%: the median of growth third 3 (n=41), by the same rule; the all-growth median is 21.4%; G&amp;A 22.4% ($100M-$300M, n=16); gross margin 72.4%, operating margin -5.0% and stock comp 11.8% are the under-$1B medians (n=70). Ranges are the 25th to 75th percentile of all growth rates. Revenue per head stays on this project's nine-company peer median.</t>
  </si>
  <si>
    <t>Sources</t>
  </si>
  <si>
    <t>Every anchor, as read from its public source. The Inputs sheet links to these cells; nothing here is typed by hand.</t>
  </si>
  <si>
    <t>Series / accession</t>
  </si>
  <si>
    <t>Survey</t>
  </si>
  <si>
    <t>Measure</t>
  </si>
  <si>
    <t>Area / company</t>
  </si>
  <si>
    <t>Period</t>
  </si>
  <si>
    <t>Value</t>
  </si>
  <si>
    <t>Unit</t>
  </si>
  <si>
    <t>Link</t>
  </si>
  <si>
    <t>OEUM004186000000015125213</t>
  </si>
  <si>
    <t>OEWS</t>
  </si>
  <si>
    <t>annual median wage · SOC 15-1252 Software developers</t>
  </si>
  <si>
    <t>San Francisco-Oakland-Fremont, CA MSA</t>
  </si>
  <si>
    <t>May 2025</t>
  </si>
  <si>
    <t>USD per year</t>
  </si>
  <si>
    <t>https://data.bls.gov/timeseries/OEUM004186000000015125213</t>
  </si>
  <si>
    <t>OEUM004186000000015125214</t>
  </si>
  <si>
    <t>annual 75th percentile wage · SOC 15-1252 Software developers</t>
  </si>
  <si>
    <t>https://data.bls.gov/timeseries/OEUM004186000000015125214</t>
  </si>
  <si>
    <t>OEUM004186000000011302113</t>
  </si>
  <si>
    <t>annual median wage · SOC 11-3021 Computer and information systems managers</t>
  </si>
  <si>
    <t>https://data.bls.gov/timeseries/OEUM004186000000011302113</t>
  </si>
  <si>
    <t>OEUM004186000000041309113</t>
  </si>
  <si>
    <t>annual median wage · SOC 41-3091 Sales representatives of services, except advertising, insurance, financial services, and travel</t>
  </si>
  <si>
    <t>https://data.bls.gov/timeseries/OEUM004186000000041309113</t>
  </si>
  <si>
    <t>OEUM004186000000041401113</t>
  </si>
  <si>
    <t>annual median wage · SOC 41-4011 Sales representatives, wholesale and manufacturing, technical and scientific products</t>
  </si>
  <si>
    <t>https://data.bls.gov/timeseries/OEUM004186000000041401113</t>
  </si>
  <si>
    <t>OEUM004186000000041401114</t>
  </si>
  <si>
    <t>annual 75th percentile wage · SOC 41-4011 Sales representatives, wholesale and manufacturing, technical and scientific products</t>
  </si>
  <si>
    <t>https://data.bls.gov/timeseries/OEUM004186000000041401114</t>
  </si>
  <si>
    <t>OEUM004186000000011202213</t>
  </si>
  <si>
    <t>annual median wage · SOC 11-2022 Sales managers</t>
  </si>
  <si>
    <t>https://data.bls.gov/timeseries/OEUM004186000000011202213</t>
  </si>
  <si>
    <t>OEUM004186000000013116113</t>
  </si>
  <si>
    <t>annual median wage · SOC 13-1161 Market research analysts and marketing specialists</t>
  </si>
  <si>
    <t>https://data.bls.gov/timeseries/OEUM004186000000013116113</t>
  </si>
  <si>
    <t>OEUM004186000000013116114</t>
  </si>
  <si>
    <t>annual 75th percentile wage · SOC 13-1161 Market research analysts and marketing specialists</t>
  </si>
  <si>
    <t>https://data.bls.gov/timeseries/OEUM004186000000013116114</t>
  </si>
  <si>
    <t>OEUM004186000000011202113</t>
  </si>
  <si>
    <t>annual median wage · SOC 11-2021 Marketing managers</t>
  </si>
  <si>
    <t>https://data.bls.gov/timeseries/OEUM004186000000011202113</t>
  </si>
  <si>
    <t>OEUM004186000000015123213</t>
  </si>
  <si>
    <t>annual median wage · SOC 15-1232 Computer user support specialists</t>
  </si>
  <si>
    <t>https://data.bls.gov/timeseries/OEUM004186000000015123213</t>
  </si>
  <si>
    <t>OEUM004186000000015123214</t>
  </si>
  <si>
    <t>annual 75th percentile wage · SOC 15-1232 Computer user support specialists</t>
  </si>
  <si>
    <t>https://data.bls.gov/timeseries/OEUM004186000000015123214</t>
  </si>
  <si>
    <t>OEUM004186000000011919913</t>
  </si>
  <si>
    <t>annual median wage · SOC 11-9199 Managers, all other</t>
  </si>
  <si>
    <t>https://data.bls.gov/timeseries/OEUM004186000000011919913</t>
  </si>
  <si>
    <t>OEUM004186000000013201113</t>
  </si>
  <si>
    <t>annual median wage · SOC 13-2011 Accountants and auditors</t>
  </si>
  <si>
    <t>https://data.bls.gov/timeseries/OEUM004186000000013201113</t>
  </si>
  <si>
    <t>OEUM004186000000013201114</t>
  </si>
  <si>
    <t>annual 75th percentile wage · SOC 13-2011 Accountants and auditors</t>
  </si>
  <si>
    <t>https://data.bls.gov/timeseries/OEUM004186000000013201114</t>
  </si>
  <si>
    <t>OEUM004186000000011303113</t>
  </si>
  <si>
    <t>annual median wage · SOC 11-3031 Financial managers</t>
  </si>
  <si>
    <t>https://data.bls.gov/timeseries/OEUM004186000000011303113</t>
  </si>
  <si>
    <t>CMU2025100000000D</t>
  </si>
  <si>
    <t>ECEC</t>
  </si>
  <si>
    <t>Wages and salaries, cost per hour worked</t>
  </si>
  <si>
    <t>United States, private industry, Information industry, all workers</t>
  </si>
  <si>
    <t>2026 Q02</t>
  </si>
  <si>
    <t>USD per hour worked</t>
  </si>
  <si>
    <t>https://data.bls.gov/timeseries/CMU2025100000000D</t>
  </si>
  <si>
    <t>CMU2045100000000D</t>
  </si>
  <si>
    <t>Paid leave, cost per hour worked</t>
  </si>
  <si>
    <t>https://data.bls.gov/timeseries/CMU2045100000000D</t>
  </si>
  <si>
    <t>CMU2095100000000D</t>
  </si>
  <si>
    <t>Supplemental pay, cost per hour worked</t>
  </si>
  <si>
    <t>https://data.bls.gov/timeseries/CMU2095100000000D</t>
  </si>
  <si>
    <t>CMU2135100000000D</t>
  </si>
  <si>
    <t>Insurance, cost per hour worked</t>
  </si>
  <si>
    <t>https://data.bls.gov/timeseries/CMU2135100000000D</t>
  </si>
  <si>
    <t>CMU2185100000000D</t>
  </si>
  <si>
    <t>Retirement and savings, cost per hour worked</t>
  </si>
  <si>
    <t>https://data.bls.gov/timeseries/CMU2185100000000D</t>
  </si>
  <si>
    <t>CMU2215100000000D</t>
  </si>
  <si>
    <t>Legally required benefits, cost per hour worked</t>
  </si>
  <si>
    <t>https://data.bls.gov/timeseries/CMU2215100000000D</t>
  </si>
  <si>
    <t>CIU2025100000000I</t>
  </si>
  <si>
    <t>ECI</t>
  </si>
  <si>
    <t>ECI wages and salaries, index (Dec 2005 = 100)</t>
  </si>
  <si>
    <t>index</t>
  </si>
  <si>
    <t>https://data.bls.gov/timeseries/CIU2025100000000I</t>
  </si>
  <si>
    <t>2026 Q01</t>
  </si>
  <si>
    <t>2025 Q04</t>
  </si>
  <si>
    <t>2025 Q03</t>
  </si>
  <si>
    <t>2025 Q02</t>
  </si>
  <si>
    <t>CIU2025100000000A</t>
  </si>
  <si>
    <t>ECI wages and salaries, 12-month percent change</t>
  </si>
  <si>
    <t>percent</t>
  </si>
  <si>
    <t>https://data.bls.gov/timeseries/CIU2025100000000A</t>
  </si>
  <si>
    <t>Public software companies, latest 10-K (SEC EDGAR: XBRL company facts under that 10-K's accession number; employees quoted from the 10-K text)</t>
  </si>
  <si>
    <t>Accession</t>
  </si>
  <si>
    <t>Ticker</t>
  </si>
  <si>
    <t>Company</t>
  </si>
  <si>
    <t>Fiscal year end</t>
  </si>
  <si>
    <t>Revenue ($)</t>
  </si>
  <si>
    <t>Cost of revenue ($)</t>
  </si>
  <si>
    <t>Sales &amp; marketing ($)</t>
  </si>
  <si>
    <t>R&amp;D ($)</t>
  </si>
  <si>
    <t>G&amp;A ($)</t>
  </si>
  <si>
    <t>Stock comp ($)</t>
  </si>
  <si>
    <t>Operating income ($)</t>
  </si>
  <si>
    <t>Employees</t>
  </si>
  <si>
    <t>Revenue per employee</t>
  </si>
  <si>
    <t>Gross margin</t>
  </si>
  <si>
    <t>S&amp;M %</t>
  </si>
  <si>
    <t>R&amp;D %</t>
  </si>
  <si>
    <t>G&amp;A %</t>
  </si>
  <si>
    <t>Stock comp %</t>
  </si>
  <si>
    <t>Operating margin</t>
  </si>
  <si>
    <t>Employees, as the 10-K says it</t>
  </si>
  <si>
    <t>10-K link</t>
  </si>
  <si>
    <t>0001625641-26-000044</t>
  </si>
  <si>
    <t>LAW</t>
  </si>
  <si>
    <t>CS Disco, Inc.</t>
  </si>
  <si>
    <t>2025-12-31</t>
  </si>
  <si>
    <t>ees, consultants and directors. As of December 31, 2025, we had 577 full-time employees. 8 Table of Contents Sales and Marketing We sell our product offerings through a direct sales forc</t>
  </si>
  <si>
    <t>https://www.sec.gov/Archives/edgar/data/1625641/000162564126000044/law-20251231.htm</t>
  </si>
  <si>
    <t>0001193125-26-057847</t>
  </si>
  <si>
    <t>AMPL</t>
  </si>
  <si>
    <t>Amplitude, Inc.</t>
  </si>
  <si>
    <t xml:space="preserve"> Values Awards. As of December 31, 2025, we had a total of 780 employees, including 188 employees located outside the United States. None of our employees is represented by a labor union or co</t>
  </si>
  <si>
    <t>https://www.sec.gov/Archives/edgar/data/1866692/000119312526057847/ampl-20251231.htm</t>
  </si>
  <si>
    <t>0001609151-26-000016</t>
  </si>
  <si>
    <t>WEAV</t>
  </si>
  <si>
    <t>Weave Communications, Inc.</t>
  </si>
  <si>
    <t>an Capital As of December 31, 2025, we had 904 employees. We continued expanding our presence abroad during 2025 predominantly by hiring additional engineers in India, business</t>
  </si>
  <si>
    <t>https://www.sec.gov/Archives/edgar/data/1609151/000160915126000016/weav-20251231.htm</t>
  </si>
  <si>
    <t>0001104659-26-106739</t>
  </si>
  <si>
    <t>EGAN</t>
  </si>
  <si>
    <t>EGAIN Corp</t>
  </si>
  <si>
    <t>2026-06-30</t>
  </si>
  <si>
    <t>h-performing and diverse workforce. As of June 30, 2026, we had 422 employees, including 420 full-time employees, of which 197 were in product development, 128 in services and support, 56 in sales</t>
  </si>
  <si>
    <t>https://www.sec.gov/Archives/edgar/data/1066194/000110465926106739/egan-20260630x10k.htm</t>
  </si>
  <si>
    <t>0001628280-26-016402</t>
  </si>
  <si>
    <t>YEXT</t>
  </si>
  <si>
    <t>Yext, Inc.</t>
  </si>
  <si>
    <t>2026-01-31</t>
  </si>
  <si>
    <t xml:space="preserve"> improvement over time. As of January 31, 2026, we had approximately 1,120 full-time employees, approximately 27% of whom are based in our New York headquarters. Governmental Regulation We are subject</t>
  </si>
  <si>
    <t>https://www.sec.gov/Archives/edgar/data/1614178/000162828026016402/yext-20260131.htm</t>
  </si>
  <si>
    <t>0001476840-26-000009</t>
  </si>
  <si>
    <t>EXFY</t>
  </si>
  <si>
    <t>Expensify, Inc.</t>
  </si>
  <si>
    <t>itical component of our success. As of December 31, 2025 we had 117 full-time employees. None of our employees are represented by a labor union or covered by collective bargaining agreements. 16</t>
  </si>
  <si>
    <t>https://www.sec.gov/Archives/edgar/data/1476840/000147684026000009/exfy-20251231.htm</t>
  </si>
  <si>
    <t>0001193125-26-085687</t>
  </si>
  <si>
    <t>CMRC</t>
  </si>
  <si>
    <t>Commerce.com, Inc.</t>
  </si>
  <si>
    <t xml:space="preserve">d human capital resources As of December 31, 2025, we had 1,079 full-time employees, including 294 in cost of sales, 270 in research and development, 277 in sales and marketing and 238 in general and </t>
  </si>
  <si>
    <t>https://www.sec.gov/Archives/edgar/data/1626450/000119312526085687/bigc-20251231.htm</t>
  </si>
  <si>
    <t>0001568100-26-000012</t>
  </si>
  <si>
    <t>PD</t>
  </si>
  <si>
    <t>PagerDuty, Inc.</t>
  </si>
  <si>
    <t>er their growth and development. As of January 31, 2026, we had 1,155 employees, of which approximately 49% were in the United States and 51% were in our international locations. None of our employee</t>
  </si>
  <si>
    <t>https://www.sec.gov/Archives/edgar/data/1568100/000156810026000012/pd-20260131.htm</t>
  </si>
  <si>
    <t>0001517375-26-000015</t>
  </si>
  <si>
    <t>SPT</t>
  </si>
  <si>
    <t>Sprout Social, Inc.</t>
  </si>
  <si>
    <t xml:space="preserve"> Our Workforce As of December 31, 2025, Sprout Social employed 1,362 full-time team members, with an average tenure of 3.3 years. Geographically, our workforce spanned multiple locations, with 369 tea</t>
  </si>
  <si>
    <t>https://www.sec.gov/Archives/edgar/data/1517375/000151737526000015/spt-20251231.htm</t>
  </si>
  <si>
    <t>Median</t>
  </si>
  <si>
    <t>XBRL tags used: us-gaap:CostOfGoodsAndServicesSold; us-gaap:CostOfRevenue; us-gaap:GeneralAndAdministrativeExpense; us-gaap:OperatingIncomeLoss; us-gaap:ResearchAndDevelopmentExpense; us-gaap:RevenueFromContractWithCustomerExcludingAssessedTax; us-gaap:Revenues; us-gaap:SellingAndMarketingExpense; us-gaap:ShareBasedCompensation</t>
  </si>
  <si>
    <t>Inputs</t>
  </si>
  <si>
    <t>Blue cells on yellow are the plan's assumptions. Column E is the value the model uses this minute: the input, unless a trade-off case, the tornado or the sensitivity table is overriding it.</t>
  </si>
  <si>
    <t>Assumption</t>
  </si>
  <si>
    <t>Input</t>
  </si>
  <si>
    <t>Used now</t>
  </si>
  <si>
    <t>Kind</t>
  </si>
  <si>
    <t>Basis</t>
  </si>
  <si>
    <t>Source ids</t>
  </si>
  <si>
    <t>Pay escalation, May 2025 to January 2027</t>
  </si>
  <si>
    <t>x</t>
  </si>
  <si>
    <t>anchor</t>
  </si>
  <si>
    <t>BLS pay is for May 2025. Raised to January 2027 at the latest 12-month change in the Employment Cost Index for Information-industry wages (2.9%), over 20 months: (1 + 0.029)^(20/12).</t>
  </si>
  <si>
    <t>Merit increase</t>
  </si>
  <si>
    <t>%</t>
  </si>
  <si>
    <t>April merit increase for everyone employed, at the same ECI 12-month change.</t>
  </si>
  <si>
    <t>Merit month (1 = January)</t>
  </si>
  <si>
    <t>month</t>
  </si>
  <si>
    <t>judgment</t>
  </si>
  <si>
    <t>Merit increases take effect in April (a common cycle after the year-end review).</t>
  </si>
  <si>
    <t>Benefits and payroll-tax load</t>
  </si>
  <si>
    <t>% of pay</t>
  </si>
  <si>
    <t>Employer benefits and payroll taxes on top of cash pay: (insurance + retirement + legally required) / (wages + paid leave + supplemental pay), BLS ECEC, private industry, Information industry, Q2 2026.</t>
  </si>
  <si>
    <t>CMU2135100000000D, CMU2185100000000D, CMU2215100000000D, CMU2025100000000D, CMU2045100000000D, CMU2095100000000D</t>
  </si>
  <si>
    <t>Stock comp, % of base pay</t>
  </si>
  <si>
    <t>Stock compensation expense at 20% of base pay. The resulting stock comp / revenue is compared with the benchmark median (11.8%) on the Targets sheet.</t>
  </si>
  <si>
    <t>Pay level against the BLS anchor</t>
  </si>
  <si>
    <t>Pay level against the BLS anchor (1.0 = the anchor). The tornado moves it ±10%.</t>
  </si>
  <si>
    <t>Equipment per hire</t>
  </si>
  <si>
    <t>$ per hire</t>
  </si>
  <si>
    <t>Laptop and set-up per new hire, new or backfill.</t>
  </si>
  <si>
    <t>Software per head per month</t>
  </si>
  <si>
    <t>$ per head per month</t>
  </si>
  <si>
    <t>Per-seat software (productivity, security, collaboration, role tools).</t>
  </si>
  <si>
    <t>Recruiting cost per hire</t>
  </si>
  <si>
    <t>Recruiting cost per hire (in-house recruiters, sourcing tools, some agency use), booked in G&amp;A.</t>
  </si>
  <si>
    <t>Rent per month (San Francisco office)</t>
  </si>
  <si>
    <t>$ per month</t>
  </si>
  <si>
    <t>San Francisco office for about 180 desks with hybrid work; allocated to departments by heads.</t>
  </si>
  <si>
    <t>T&amp;E per head per month: R&amp;D</t>
  </si>
  <si>
    <t>Travel and entertainment, R&amp;D.</t>
  </si>
  <si>
    <t>T&amp;E per head per month: Sales</t>
  </si>
  <si>
    <t>Travel and entertainment, Sales (customer visits).</t>
  </si>
  <si>
    <t>T&amp;E per head per month: Marketing</t>
  </si>
  <si>
    <t>Travel and entertainment, Marketing (events).</t>
  </si>
  <si>
    <t>T&amp;E per head per month: Customer success</t>
  </si>
  <si>
    <t>Travel and entertainment, customer success and support.</t>
  </si>
  <si>
    <t>T&amp;E per head per month: G&amp;A</t>
  </si>
  <si>
    <t>Travel and entertainment, G&amp;A.</t>
  </si>
  <si>
    <t>Marketing programs per month</t>
  </si>
  <si>
    <t>Marketing programs (paid media, events, content), about 8% of revenue.</t>
  </si>
  <si>
    <t>Marketing programs against plan</t>
  </si>
  <si>
    <t>Marketing programs against plan (1.0 = plan). The tornado moves it ±20%.</t>
  </si>
  <si>
    <t>Other G&amp;A per month</t>
  </si>
  <si>
    <t>Audit, legal, insurance and finance systems.</t>
  </si>
  <si>
    <t>Hosting, % of revenue</t>
  </si>
  <si>
    <t>% of revenue</t>
  </si>
  <si>
    <t>Cloud hosting and third-party services in cost of revenue.</t>
  </si>
  <si>
    <t>Commission rate on new ARR</t>
  </si>
  <si>
    <t>% of new ARR</t>
  </si>
  <si>
    <t>Sales commission on new-customer ARR, expensed when booked (no capitalisation in this plan).</t>
  </si>
  <si>
    <t>Opening ARR, 31 Dec 2026</t>
  </si>
  <si>
    <t>$</t>
  </si>
  <si>
    <t>Opening ARR, 31 Dec 2026. Set so FY2027 revenue per average head lands near the peer median ($336k; peers' quartiles $268k to $433k).</t>
  </si>
  <si>
    <t>0001625641-26-000044, 0001193125-26-057847, 0001609151-26-000016, 0001104659-26-106739, 0001628280-26-016402, 0001476840-26-000009 …</t>
  </si>
  <si>
    <t>AE quota (new ARR per year)</t>
  </si>
  <si>
    <t>$ new ARR per AE per year</t>
  </si>
  <si>
    <t>Annual new-ARR quota for a fully ramped account executive.</t>
  </si>
  <si>
    <t>Quota attainment (slider)</t>
  </si>
  <si>
    <t>% of quota</t>
  </si>
  <si>
    <t>Average quota attainment across account executives. Slider on the page.</t>
  </si>
  <si>
    <t>AE ramp, months</t>
  </si>
  <si>
    <t>months</t>
  </si>
  <si>
    <t>A new account executive ramps in a straight line to full productivity over 6 months (none in the first month).</t>
  </si>
  <si>
    <t>Gross churn, per year</t>
  </si>
  <si>
    <t>% of ARR per year</t>
  </si>
  <si>
    <t>Gross ARR churn (lost customers and downgrades).</t>
  </si>
  <si>
    <t>Expansion, per year</t>
  </si>
  <si>
    <t>Expansion ARR from existing customers (seats, upgrades), before the new module.</t>
  </si>
  <si>
    <t>Roadmap module: engineer-months needed</t>
  </si>
  <si>
    <t>engineer-months</t>
  </si>
  <si>
    <t>The roadmap module needs 40 engineer-months from this year's new engineers; it ships the month after. At plan hiring that is July 2027.</t>
  </si>
  <si>
    <t>Roadmap module: ARR added per month after it ships</t>
  </si>
  <si>
    <t>$ ARR per month</t>
  </si>
  <si>
    <t>Expansion ARR the module adds each month after it ships.</t>
  </si>
  <si>
    <t>Attrition, per year (slider)</t>
  </si>
  <si>
    <t>% per year</t>
  </si>
  <si>
    <t>Voluntary and involuntary attrition, all departments. Slider on the page.</t>
  </si>
  <si>
    <t>Backfill lag, months</t>
  </si>
  <si>
    <t>Months from a leaver's last day to the backfill's start.</t>
  </si>
  <si>
    <t>Hiring delay on net-new hires, months (slider)</t>
  </si>
  <si>
    <t>Hiring delay applied to every net-new hire (not backfills). Slider on the page.</t>
  </si>
  <si>
    <t>Share of R&amp;D hires held back</t>
  </si>
  <si>
    <t>share</t>
  </si>
  <si>
    <t>Share of R&amp;D net-new hires held back (trade-off 1 sets it to one third).</t>
  </si>
  <si>
    <t>Months those R&amp;D hires are held back</t>
  </si>
  <si>
    <t>How long those R&amp;D hires are held back (trade-off 1: 3 months).</t>
  </si>
  <si>
    <t>Months AE hires are brought forward</t>
  </si>
  <si>
    <t>Account executive hires brought forward (trade-off 2: 3 months, never before January).</t>
  </si>
  <si>
    <t>Derived</t>
  </si>
  <si>
    <t>Monthly attrition (annual / 12)</t>
  </si>
  <si>
    <t>Backfill lag used (whole months)</t>
  </si>
  <si>
    <t>Roles: opening heads (31 Dec 2026) and planned net-new hires by month</t>
  </si>
  <si>
    <t>Level 1 is pegged to the occupation's San Francisco median, level 2 to its 75th percentile, level 3 to the median of the matching manager occupation. Account executives (level 2 in Sales) use the 75th percentile of technical sales representatives; commission comes on top.</t>
  </si>
  <si>
    <t>Role</t>
  </si>
  <si>
    <t>Dept</t>
  </si>
  <si>
    <t>Level</t>
  </si>
  <si>
    <t>Title</t>
  </si>
  <si>
    <t>SOC</t>
  </si>
  <si>
    <t>Statistic</t>
  </si>
  <si>
    <t>BLS series</t>
  </si>
  <si>
    <t>BLS annual pay</t>
  </si>
  <si>
    <t>Jan-2027 base (used)</t>
  </si>
  <si>
    <t>Opening heads</t>
  </si>
  <si>
    <t>Jan-27</t>
  </si>
  <si>
    <t>Feb-27</t>
  </si>
  <si>
    <t>Mar-27</t>
  </si>
  <si>
    <t>Apr-27</t>
  </si>
  <si>
    <t>May-27</t>
  </si>
  <si>
    <t>Jun-27</t>
  </si>
  <si>
    <t>Jul-27</t>
  </si>
  <si>
    <t>Aug-27</t>
  </si>
  <si>
    <t>Sep-27</t>
  </si>
  <si>
    <t>Oct-27</t>
  </si>
  <si>
    <t>Nov-27</t>
  </si>
  <si>
    <t>Dec-27</t>
  </si>
  <si>
    <t>Total</t>
  </si>
  <si>
    <t>rd1</t>
  </si>
  <si>
    <t>rd</t>
  </si>
  <si>
    <t>Software engineer</t>
  </si>
  <si>
    <t>15-1252</t>
  </si>
  <si>
    <t>median</t>
  </si>
  <si>
    <t>rd2</t>
  </si>
  <si>
    <t>Senior software engineer</t>
  </si>
  <si>
    <t>p75</t>
  </si>
  <si>
    <t>rd3</t>
  </si>
  <si>
    <t>Engineering manager</t>
  </si>
  <si>
    <t>11-3021</t>
  </si>
  <si>
    <t>sales1</t>
  </si>
  <si>
    <t>sales</t>
  </si>
  <si>
    <t>Sales development rep</t>
  </si>
  <si>
    <t>41-3091</t>
  </si>
  <si>
    <t>sales2</t>
  </si>
  <si>
    <t>Account executive</t>
  </si>
  <si>
    <t>41-4011</t>
  </si>
  <si>
    <t>sales3</t>
  </si>
  <si>
    <t>Sales manager</t>
  </si>
  <si>
    <t>11-2022</t>
  </si>
  <si>
    <t>mkt1</t>
  </si>
  <si>
    <t>mkt</t>
  </si>
  <si>
    <t>Marketing specialist</t>
  </si>
  <si>
    <t>13-1161</t>
  </si>
  <si>
    <t>mkt2</t>
  </si>
  <si>
    <t>Senior marketing specialist</t>
  </si>
  <si>
    <t>mkt3</t>
  </si>
  <si>
    <t>Marketing manager</t>
  </si>
  <si>
    <t>11-2021</t>
  </si>
  <si>
    <t>cs1</t>
  </si>
  <si>
    <t>cs</t>
  </si>
  <si>
    <t>Support specialist</t>
  </si>
  <si>
    <t>15-1232</t>
  </si>
  <si>
    <t>cs2</t>
  </si>
  <si>
    <t>Senior support / customer success</t>
  </si>
  <si>
    <t>cs3</t>
  </si>
  <si>
    <t>Support and success manager</t>
  </si>
  <si>
    <t>11-9199</t>
  </si>
  <si>
    <t>ga1</t>
  </si>
  <si>
    <t>ga</t>
  </si>
  <si>
    <t>Accountant / people / legal ops</t>
  </si>
  <si>
    <t>13-2011</t>
  </si>
  <si>
    <t>ga2</t>
  </si>
  <si>
    <t>Senior accountant / analyst</t>
  </si>
  <si>
    <t>ga3</t>
  </si>
  <si>
    <t>Finance / G&amp;A manager</t>
  </si>
  <si>
    <t>11-3031</t>
  </si>
  <si>
    <t>Tradeoffs</t>
  </si>
  <si>
    <t>The decision cases, recalculated by Excel's data table from the live model: the plan, two trade-offs, the recommendation and the option rejected.</t>
  </si>
  <si>
    <t>Case shown in the rest of the workbook (0 = plan)</t>
  </si>
  <si>
    <t>Case settings</t>
  </si>
  <si>
    <t>Case 1: Share of R&amp;D hires held back</t>
  </si>
  <si>
    <t>Case 1: Months those R&amp;D hires are held back</t>
  </si>
  <si>
    <t>Case 2: Months AE hires are brought forward</t>
  </si>
  <si>
    <t>Case 3: Share of R&amp;D hires held back</t>
  </si>
  <si>
    <t>Case 3: Months those R&amp;D hires are held back</t>
  </si>
  <si>
    <t>Case 3: Months AE hires are brought forward</t>
  </si>
  <si>
    <t>Case 4: Hiring delay on net-new hires, months (slider)</t>
  </si>
  <si>
    <t>Cases (Excel data table over the case selector)</t>
  </si>
  <si>
    <t>Case</t>
  </si>
  <si>
    <t>Operating income</t>
  </si>
  <si>
    <t>Revenue</t>
  </si>
  <si>
    <t>Cost (opex + cost of revenue)</t>
  </si>
  <si>
    <t>New-customer ARR</t>
  </si>
  <si>
    <t>December ARR</t>
  </si>
  <si>
    <t>December heads</t>
  </si>
  <si>
    <t>Module ships (month)</t>
  </si>
  <si>
    <t>(live formulas the data table reads)</t>
  </si>
  <si>
    <t>Plan as requested</t>
  </si>
  <si>
    <t>Trade-off 1: hold a third of R&amp;D hires for a quarter</t>
  </si>
  <si>
    <t>Trade-off 2: hire account executives a quarter earlier</t>
  </si>
  <si>
    <t>Recommended: both trade-offs together</t>
  </si>
  <si>
    <t>Rejected: delay every net-new hire by a quarter</t>
  </si>
  <si>
    <t>Against the plan (case 0)</t>
  </si>
  <si>
    <t>Sensitivity</t>
  </si>
  <si>
    <t>Tornado: each driver moved to its low and high value, one at a time. Two-way tables: operating income by its top driver and the top ARR driver; December ARR by its top two drivers. Excel's data tables recalculate them from the live model.</t>
  </si>
  <si>
    <t>Tornado driver being moved (0 = none)</t>
  </si>
  <si>
    <t>Tornado side (-1 low, +1 high)</t>
  </si>
  <si>
    <t>Sensitivity shift: Pay level against the BLS anchor</t>
  </si>
  <si>
    <t>Sensitivity shift: Quota attainment</t>
  </si>
  <si>
    <t>Sensitivity shift: Expansion rate</t>
  </si>
  <si>
    <t>Tornado drivers</t>
  </si>
  <si>
    <t>#</t>
  </si>
  <si>
    <t>Key</t>
  </si>
  <si>
    <t>Low</t>
  </si>
  <si>
    <t>High</t>
  </si>
  <si>
    <t>Why this range</t>
  </si>
  <si>
    <t>payMult</t>
  </si>
  <si>
    <t>Offers can sit either side of the all-industry median by role.</t>
  </si>
  <si>
    <t>load</t>
  </si>
  <si>
    <t>Health-plan renewals move it a few points a year.</t>
  </si>
  <si>
    <t>Stock comp, % of pay</t>
  </si>
  <si>
    <t>sbcRate</t>
  </si>
  <si>
    <t>Grant sizes and share price at grant.</t>
  </si>
  <si>
    <t>hostingPct</t>
  </si>
  <si>
    <t>Usage growth and cloud price changes.</t>
  </si>
  <si>
    <t>programsMult</t>
  </si>
  <si>
    <t>Programs are the easiest line to cut or add to.</t>
  </si>
  <si>
    <t>Quota attainment</t>
  </si>
  <si>
    <t>attainment</t>
  </si>
  <si>
    <t>A weak or strong selling year.</t>
  </si>
  <si>
    <t>AE quota</t>
  </si>
  <si>
    <t>quota</t>
  </si>
  <si>
    <t>$ per AE per year</t>
  </si>
  <si>
    <t>Quota set ±15%.</t>
  </si>
  <si>
    <t>Expansion rate</t>
  </si>
  <si>
    <t>expansion</t>
  </si>
  <si>
    <t>Seat growth at existing customers.</t>
  </si>
  <si>
    <t>Gross churn</t>
  </si>
  <si>
    <t>churn</t>
  </si>
  <si>
    <t>Renewal risk.</t>
  </si>
  <si>
    <t>Attrition</t>
  </si>
  <si>
    <t>attrition</t>
  </si>
  <si>
    <t>A calm or a rough year for leavers.</t>
  </si>
  <si>
    <t>Backfill lag</t>
  </si>
  <si>
    <t>backfillLag</t>
  </si>
  <si>
    <t>Recruiting speed.</t>
  </si>
  <si>
    <t>Hiring timing against plan</t>
  </si>
  <si>
    <t>delay</t>
  </si>
  <si>
    <t>Hiring runs two months early or late.</t>
  </si>
  <si>
    <t>AE ramp</t>
  </si>
  <si>
    <t>rampMonths</t>
  </si>
  <si>
    <t>Onboarding quality and deal cycle.</t>
  </si>
  <si>
    <t>Module ARR per month</t>
  </si>
  <si>
    <t>moduleArrPerMonth</t>
  </si>
  <si>
    <t>How well the new module sells.</t>
  </si>
  <si>
    <t>Tornado on FY2027 operating income (data table: driver # down, side across)</t>
  </si>
  <si>
    <t>Low − plan</t>
  </si>
  <si>
    <t>High − plan</t>
  </si>
  <si>
    <t>Swing</t>
  </si>
  <si>
    <t>Tornado on December 2027 ARR</t>
  </si>
  <si>
    <t>FY2027 operating income: Pay level against the BLS anchor (down) × Quota attainment (across)</t>
  </si>
  <si>
    <t>December 2027 ARR: Quota attainment (down) × Expansion rate (across)</t>
  </si>
  <si>
    <t>Hires</t>
  </si>
  <si>
    <t>When each planned hire lands: the plan month, moved by the hiring delay, the AE pull-forward and the R&amp;D hold-back. A hire that lands after December falls out of FY2027.</t>
  </si>
  <si>
    <t>Planned month →</t>
  </si>
  <si>
    <t>FY2027</t>
  </si>
  <si>
    <t>Software engineer (R&amp;D, level 1)</t>
  </si>
  <si>
    <t>Planned net-new hires</t>
  </si>
  <si>
    <t>Lands in month</t>
  </si>
  <si>
    <t>Lands in month, if held back (R&amp;D only)</t>
  </si>
  <si>
    <t>Net-new hires starting this month</t>
  </si>
  <si>
    <t>Planned hires that land after December</t>
  </si>
  <si>
    <t>Senior software engineer (R&amp;D, level 2)</t>
  </si>
  <si>
    <t>Engineering manager (R&amp;D, level 3)</t>
  </si>
  <si>
    <t>Sales development rep (Sales, level 1)</t>
  </si>
  <si>
    <t>Account executive (Sales, level 2)</t>
  </si>
  <si>
    <t>Sales manager (Sales, level 3)</t>
  </si>
  <si>
    <t>Marketing specialist (Marketing, level 1)</t>
  </si>
  <si>
    <t>Senior marketing specialist (Marketing, level 2)</t>
  </si>
  <si>
    <t>Marketing manager (Marketing, level 3)</t>
  </si>
  <si>
    <t>Support specialist (Customer success and support, level 1)</t>
  </si>
  <si>
    <t>Senior support / customer success (Customer success and support, level 2)</t>
  </si>
  <si>
    <t>Support and success manager (Customer success and support, level 3)</t>
  </si>
  <si>
    <t>Accountant / people / legal ops (G&amp;A, level 1)</t>
  </si>
  <si>
    <t>Senior accountant / analyst (G&amp;A, level 2)</t>
  </si>
  <si>
    <t>Finance / G&amp;A manager (G&amp;A, level 3)</t>
  </si>
  <si>
    <t>Headcount</t>
  </si>
  <si>
    <t>Roll-forward by role: opening + net-new hires + backfills − leavers = closing. Paid heads = opening + hires (hires start on the 1st, leavers leave on the last day).</t>
  </si>
  <si>
    <t>Heads (FTE)</t>
  </si>
  <si>
    <t>Opening</t>
  </si>
  <si>
    <t>open</t>
  </si>
  <si>
    <t>Net-new hires</t>
  </si>
  <si>
    <t>net</t>
  </si>
  <si>
    <t>Backfills</t>
  </si>
  <si>
    <t>back</t>
  </si>
  <si>
    <t>Hires (net-new + backfill)</t>
  </si>
  <si>
    <t>hires</t>
  </si>
  <si>
    <t>Leavers</t>
  </si>
  <si>
    <t>leave</t>
  </si>
  <si>
    <t>Closing</t>
  </si>
  <si>
    <t>close</t>
  </si>
  <si>
    <t>Paid heads</t>
  </si>
  <si>
    <t>paid</t>
  </si>
  <si>
    <t>Open seats waiting for a backfill (month end)</t>
  </si>
  <si>
    <t>seats</t>
  </si>
  <si>
    <t>Departments</t>
  </si>
  <si>
    <t>R&amp;D</t>
  </si>
  <si>
    <t>Closing heads</t>
  </si>
  <si>
    <t>Sales</t>
  </si>
  <si>
    <t>Marketing</t>
  </si>
  <si>
    <t>Customer success and support (cost of revenue)</t>
  </si>
  <si>
    <t>G&amp;A</t>
  </si>
  <si>
    <t>Sales Capacity</t>
  </si>
  <si>
    <t>Account executives by hiring cohort. Opening AEs are fully ramped; each month's AE hires (new and backfill) ramp in a straight line over the ramp months, with no new ARR in their first month, and leave at the attrition rate from the month after they start.</t>
  </si>
  <si>
    <t>Heads in each cohort</t>
  </si>
  <si>
    <t>Opening AEs</t>
  </si>
  <si>
    <t>Hired in Jan</t>
  </si>
  <si>
    <t>Hired in Feb</t>
  </si>
  <si>
    <t>Hired in Mar</t>
  </si>
  <si>
    <t>Hired in Apr</t>
  </si>
  <si>
    <t>Hired in May</t>
  </si>
  <si>
    <t>Hired in Jun</t>
  </si>
  <si>
    <t>Hired in Jul</t>
  </si>
  <si>
    <t>Hired in Aug</t>
  </si>
  <si>
    <t>Hired in Sep</t>
  </si>
  <si>
    <t>Hired in Oct</t>
  </si>
  <si>
    <t>Hired in Nov</t>
  </si>
  <si>
    <t>Hired in Dec</t>
  </si>
  <si>
    <t>AEs in seat (all cohorts)</t>
  </si>
  <si>
    <t>Ramped capacity (fully ramped AE equivalents)</t>
  </si>
  <si>
    <t>Ramped capacity</t>
  </si>
  <si>
    <t>New-customer ARR booked</t>
  </si>
  <si>
    <t>Roadmap</t>
  </si>
  <si>
    <t>The roadmap module ships the month after this year's new engineers have put in the engineer-months it needs (each engineer counted from the month after they start). After that it adds expansion ARR every month.</t>
  </si>
  <si>
    <t>Engineers</t>
  </si>
  <si>
    <t>New engineers starting (net-new, levels 1-2)</t>
  </si>
  <si>
    <t>Engineer-months worked by this year's new engineers</t>
  </si>
  <si>
    <t>Cumulative engineer-months</t>
  </si>
  <si>
    <t>Ships in month (13+ = not in FY2027)</t>
  </si>
  <si>
    <t>Module ARR added</t>
  </si>
  <si>
    <t>ARR</t>
  </si>
  <si>
    <t>ARR bridge: opening + new customers + expansion − churn = closing. Revenue each month = average of opening and closing ARR / 12.</t>
  </si>
  <si>
    <t>Opening ARR</t>
  </si>
  <si>
    <t>New-customer ARR (sales capacity)</t>
  </si>
  <si>
    <t>Expansion at existing customers</t>
  </si>
  <si>
    <t>Expansion from the roadmap module</t>
  </si>
  <si>
    <t>Expansion ARR</t>
  </si>
  <si>
    <t>Churn</t>
  </si>
  <si>
    <t>Closing ARR</t>
  </si>
  <si>
    <t>Comp</t>
  </si>
  <si>
    <t>People cost by role: paid heads × the monthly base rate, then the benefits load, stock comp, equipment for each hire, software and T&amp;E per head.</t>
  </si>
  <si>
    <t>Annual base rate</t>
  </si>
  <si>
    <t>Base pay</t>
  </si>
  <si>
    <t>salary</t>
  </si>
  <si>
    <t>Benefits and payroll tax</t>
  </si>
  <si>
    <t>Stock comp</t>
  </si>
  <si>
    <t>sbc</t>
  </si>
  <si>
    <t>Equipment for hires</t>
  </si>
  <si>
    <t>equip</t>
  </si>
  <si>
    <t>Software</t>
  </si>
  <si>
    <t>software</t>
  </si>
  <si>
    <t>Travel and entertainment</t>
  </si>
  <si>
    <t>te</t>
  </si>
  <si>
    <t>Opex</t>
  </si>
  <si>
    <t>Cost by department: people cost from Comp, rent allocated by paid heads, and each department's own non-headcount lines.</t>
  </si>
  <si>
    <t>Equipment</t>
  </si>
  <si>
    <t>Rent (allocated by paid heads)</t>
  </si>
  <si>
    <t>Total R&amp;D</t>
  </si>
  <si>
    <t>Commissions on new ARR</t>
  </si>
  <si>
    <t>Total Sales</t>
  </si>
  <si>
    <t>Marketing programs</t>
  </si>
  <si>
    <t>Total Marketing</t>
  </si>
  <si>
    <t>Hosting and third-party services</t>
  </si>
  <si>
    <t>Total Customer success and support</t>
  </si>
  <si>
    <t>Audit, legal, insurance, systems</t>
  </si>
  <si>
    <t>Recruiting (all hires)</t>
  </si>
  <si>
    <t>Total G&amp;A</t>
  </si>
  <si>
    <t>PnL</t>
  </si>
  <si>
    <t>Monthly P&amp;L for FY2027 (GAAP: stock comp included), with the non-GAAP operating income and each line as a % of revenue.</t>
  </si>
  <si>
    <t>Cost of revenue (customer success, support, hosting)</t>
  </si>
  <si>
    <t>Gross profit</t>
  </si>
  <si>
    <t>Sales and marketing</t>
  </si>
  <si>
    <t>Operating expenses</t>
  </si>
  <si>
    <t>Stock comp (all departments)</t>
  </si>
  <si>
    <t>Operating income, non-GAAP (before stock comp)</t>
  </si>
  <si>
    <t>People</t>
  </si>
  <si>
    <t>Revenue per average paid head</t>
  </si>
  <si>
    <t>People cost (base pay, benefits, stock comp)</t>
  </si>
  <si>
    <t>Targets</t>
  </si>
  <si>
    <t>FY2027 plan against the opex targets. Targets: Benchmark (projects/opex-benchmark/out/targets.json): SEC XBRL data (data.sec.gov companyfacts), latest 10-K fiscal year ending Jan 2025 to Jan 2026, 124 US-listed SIC 7372 software companies with revenue of $100M or more; GAAP, so every line includes stock-based compensation. S&amp;M 37.3%: the median of the benchmark's growth third 3 (median revenue growth 25.8%, n=38), the third nearest the plan's 30% ARR growth; the all-growth median is 33.2%; R&amp;D 26.7%: the median of growth third 3 (n=41), by the same rule; the all-growth median is 21.4%; G&amp;A 22.4% ($100M-$300M, n=16); gross margin 72.4%, operating margin -5.0% and stock comp 11.8% are the under-$1B medians (n=70). Ranges are the 25th to 75th percentile of all growth rates. Revenue per head stays on this project's nine-company peer median.</t>
  </si>
  <si>
    <t>Line</t>
  </si>
  <si>
    <t>Plan FY2027</t>
  </si>
  <si>
    <t>Target</t>
  </si>
  <si>
    <t>Gap (plan − target)</t>
  </si>
  <si>
    <t>Reading</t>
  </si>
  <si>
    <t>Target means</t>
  </si>
  <si>
    <t>Benchmark 25th pct</t>
  </si>
  <si>
    <t>Benchmark 75th pct</t>
  </si>
  <si>
    <t>Provisional (9 peers)</t>
  </si>
  <si>
    <t>at or above</t>
  </si>
  <si>
    <t>R&amp;D, % of revenue</t>
  </si>
  <si>
    <t>at or below</t>
  </si>
  <si>
    <t>Sales and marketing, % of revenue</t>
  </si>
  <si>
    <t>G&amp;A, % of revenue</t>
  </si>
  <si>
    <t>Stock comp, % of revenue</t>
  </si>
  <si>
    <t>Reference only</t>
  </si>
  <si>
    <t>for reference</t>
  </si>
  <si>
    <t>Targets source: benchmark</t>
  </si>
  <si>
    <t>Benchmark (projects/opex-benchmark/out/targets.json): SEC XBRL data (data.sec.gov companyfacts), latest 10-K fiscal year ending Jan 2025 to Jan 2026, 124 US-listed SIC 7372 software companies with revenue of $100M or more; GAAP, so every line includes stock-based compensation. S&amp;M 37.3%: the median of the benchmark's growth third 3 (median revenue growth 25.8%, n=38), the third nearest the plan's 30% ARR growth; the all-growth median is 33.2%; R&amp;D 26.7%: the median of growth third 3 (n=41), by the same rule; the all-growth median is 21.4%; G&amp;A 22.4% ($100M-$300M, n=16); gross margin 72.4%, operating margin -5.0% and stock comp 11.8% are the under-$1B medians (n=70). Ranges are the 25th to 75th percentile of all growth rates. Revenue per head stays on this project's nine-company peer median.</t>
  </si>
  <si>
    <t>Checks</t>
  </si>
  <si>
    <t>Integrity checks. Each recomputes a total a second way; the difference must be zero (to the cent, or 0.000001 of a head).</t>
  </si>
  <si>
    <t>Check</t>
  </si>
  <si>
    <t>Difference</t>
  </si>
  <si>
    <t>Tolerance</t>
  </si>
  <si>
    <t>Result</t>
  </si>
  <si>
    <t>Roll-forward ties: Software engineer (Dec closing = opening + hires − leavers)</t>
  </si>
  <si>
    <t>Roll-forward ties: Senior software engineer (Dec closing = opening + hires − leavers)</t>
  </si>
  <si>
    <t>Roll-forward ties: Engineering manager (Dec closing = opening + hires − leavers)</t>
  </si>
  <si>
    <t>Roll-forward ties: Sales development rep (Dec closing = opening + hires − leavers)</t>
  </si>
  <si>
    <t>Roll-forward ties: Account executive (Dec closing = opening + hires − leavers)</t>
  </si>
  <si>
    <t>Roll-forward ties: Sales manager (Dec closing = opening + hires − leavers)</t>
  </si>
  <si>
    <t>Roll-forward ties: Marketing specialist (Dec closing = opening + hires − leavers)</t>
  </si>
  <si>
    <t>Roll-forward ties: Senior marketing specialist (Dec closing = opening + hires − leavers)</t>
  </si>
  <si>
    <t>Roll-forward ties: Marketing manager (Dec closing = opening + hires − leavers)</t>
  </si>
  <si>
    <t>Roll-forward ties: Support specialist (Dec closing = opening + hires − leavers)</t>
  </si>
  <si>
    <t>Roll-forward ties: Senior support / customer success (Dec closing = opening + hires − leavers)</t>
  </si>
  <si>
    <t>Roll-forward ties: Support and success manager (Dec closing = opening + hires − leavers)</t>
  </si>
  <si>
    <t>Roll-forward ties: Accountant / people / legal ops (Dec closing = opening + hires − leavers)</t>
  </si>
  <si>
    <t>Roll-forward ties: Senior accountant / analyst (Dec closing = opening + hires − leavers)</t>
  </si>
  <si>
    <t>Roll-forward ties: Finance / G&amp;A manager (Dec closing = opening + hires − leavers)</t>
  </si>
  <si>
    <t>Paid heads = closing + leavers, every month, every role</t>
  </si>
  <si>
    <t>Department heads = sum of its roles, read a second way (SUMIFS): R&amp;D</t>
  </si>
  <si>
    <t>Department heads = sum of its roles, read a second way (SUMIFS): Sales</t>
  </si>
  <si>
    <t>Department heads = sum of its roles, read a second way (SUMIFS): Marketing</t>
  </si>
  <si>
    <t>Department heads = sum of its roles, read a second way (SUMIFS): Customer success and support</t>
  </si>
  <si>
    <t>Department heads = sum of its roles, read a second way (SUMIFS): G&amp;A</t>
  </si>
  <si>
    <t>Company heads = opening + net-new + backfills − leavers</t>
  </si>
  <si>
    <t>Every planned hire either starts in FY2027 or lands after December</t>
  </si>
  <si>
    <t>AE cohorts add up to the AE paid heads, every month</t>
  </si>
  <si>
    <t>Base pay = paid heads × monthly rate, for every role (SUMPRODUCT)</t>
  </si>
  <si>
    <t>Rate = BLS pay × escalation × pay level × merit, re-derived for December, every role</t>
  </si>
  <si>
    <t>Benefits and stock comp = base pay × their rates</t>
  </si>
  <si>
    <t>Per-head costs = paid heads × rates (software, T&amp;E), and equipment = hires × rate</t>
  </si>
  <si>
    <t>Rent allocated = rent × 12</t>
  </si>
  <si>
    <t>Operating expenses + cost of revenue = sum of the five departments</t>
  </si>
  <si>
    <t>Each department total = the sum of its lines (all months)</t>
  </si>
  <si>
    <t>Gross profit = revenue − cost of revenue; operating income = gross profit − opex (FY)</t>
  </si>
  <si>
    <t>FY operating income = sum of the twelve months, recomputed from revenue and department totals</t>
  </si>
  <si>
    <t>ARR bridge: December closing = January opening + new + expansion − churn</t>
  </si>
  <si>
    <t>Each month's opening ARR = the month before's closing</t>
  </si>
  <si>
    <t>Revenue = average ARR / 12, summed (SUMPRODUCT)</t>
  </si>
  <si>
    <t>New ARR = ramped capacity × quota / 12 × attainment</t>
  </si>
  <si>
    <t>Commissions = new ARR × commission rate</t>
  </si>
  <si>
    <t>Hosting = revenue × hosting rate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</si>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</sst>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;\(#,##0\);&quot;–&quot;"/>
    <numFmt numFmtId="165" formatCode="0.0%;\(0.0%\);&quot;–&quot;"/>
    <numFmt numFmtId="166" formatCode="0.0000"/>
    <numFmt numFmtId="167" formatCode="0.000"/>
    <numFmt numFmtId="168" formatCode="0.0000%"/>
    <numFmt numFmtId="169" formatCode="#,##0.0;\(#,##0.0\);&quot;–&quot;"/>
    <numFmt numFmtId="170" formatCode="\+0.0%;\-0.0%;0.0%"/>
    <numFmt numFmtId="171" formatCode="0.0%"/>
    <numFmt numFmtId="172" formatCode="0.000000"/>
  </numFmts>
  <fonts count="15" x14ac:knownFonts="1">
    <font>
      <sz val="11"/>
      <color theme="1"/>
      <name val="Calibri"/>
      <family val="2"/>
      <scheme val="minor"/>
    </font>
    <font>
      <b/>
      <sz val="14"/>
      <name val="Calibri"/>
    </font>
    <font>
      <i/>
      <sz val="11"/>
      <color rgb="FF4B5563"/>
      <name val="Calibri"/>
    </font>
    <font>
      <b/>
      <sz val="11"/>
      <color rgb="FFFFFFFF"/>
      <name val="Calibri"/>
    </font>
    <font>
      <b/>
      <sz val="11"/>
      <name val="Calibri"/>
    </font>
    <font>
      <sz val="9"/>
      <color rgb="FF6B7280"/>
      <name val="Calibri"/>
    </font>
    <font>
      <sz val="11"/>
      <color rgb="FF1F4E9E"/>
      <name val="Calibri"/>
    </font>
    <font>
      <i/>
      <sz val="9"/>
      <color rgb="FF4B5563"/>
      <name val="Calibri"/>
    </font>
    <font>
      <sz val="8"/>
      <color rgb="FF9CA3AF"/>
      <name val="Calibri"/>
    </font>
    <font>
      <b/>
      <sz val="12"/>
      <name val="Calibri"/>
    </font>
    <font>
      <sz val="11"/>
      <color rgb="FF9CA3AF"/>
      <name val="Calibri"/>
    </font>
    <font>
      <sz val="9"/>
      <color rgb="FF9CA3AF"/>
      <name val="Calibri"/>
    </font>
    <font>
      <b/>
      <sz val="16"/>
      <name val="Calibri"/>
    </font>
    <font>
      <i/>
      <sz val="11"/>
      <name val="Calibri"/>
    </font>
    <font>
      <b/>
      <sz val="11"/>
      <color rgb="FF16653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FFF7D6"/>
      </patternFill>
    </fill>
  </fills>
  <borders count="2">
    <border>
      <left/>
      <right/>
      <top/>
      <bottom/>
      <diagonal/>
    </border>
    <border>
      <left/>
      <right/>
      <top style="thin">
        <color rgb="FF9CA3AF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/>
    <xf numFmtId="0" fontId="14" fillId="0" borderId="0" xfId="0" applyFont="1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3" fillId="2" borderId="0" xfId="0" applyFont="1" applyFill="1"/>
    <xf numFmtId="4" fontId="0" fillId="0" borderId="0" xfId="0" applyNumberFormat="1"/>
    <xf numFmtId="164" fontId="0" fillId="0" borderId="0" xfId="0" applyNumberFormat="1"/>
    <xf numFmtId="165" fontId="0" fillId="0" borderId="0" xfId="0" applyNumberFormat="1"/>
    <xf numFmtId="164" fontId="4" fillId="0" borderId="0" xfId="0" applyNumberFormat="1" applyFont="1"/>
    <xf numFmtId="165" fontId="4" fillId="0" borderId="0" xfId="0" applyNumberFormat="1" applyFont="1"/>
    <xf numFmtId="0" fontId="5" fillId="0" borderId="0" xfId="0" applyFont="1"/>
    <xf numFmtId="166" fontId="0" fillId="0" borderId="0" xfId="0" applyNumberFormat="1"/>
    <xf numFmtId="166" fontId="4" fillId="0" borderId="0" xfId="0" applyNumberFormat="1" applyFont="1"/>
    <xf numFmtId="0" fontId="0" fillId="0" borderId="0" xfId="0" applyAlignment="1"/>
    <xf numFmtId="1" fontId="6" fillId="3" borderId="0" xfId="0" applyNumberFormat="1" applyFont="1" applyFill="1"/>
    <xf numFmtId="1" fontId="4" fillId="0" borderId="0" xfId="0" applyNumberFormat="1" applyFont="1"/>
    <xf numFmtId="165" fontId="6" fillId="3" borderId="0" xfId="0" applyNumberFormat="1" applyFont="1" applyFill="1"/>
    <xf numFmtId="166" fontId="6" fillId="3" borderId="0" xfId="0" applyNumberFormat="1" applyFont="1" applyFill="1"/>
    <xf numFmtId="164" fontId="6" fillId="3" borderId="0" xfId="0" applyNumberFormat="1" applyFont="1" applyFill="1"/>
    <xf numFmtId="167" fontId="6" fillId="3" borderId="0" xfId="0" applyNumberFormat="1" applyFont="1" applyFill="1"/>
    <xf numFmtId="167" fontId="4" fillId="0" borderId="0" xfId="0" applyNumberFormat="1" applyFont="1"/>
    <xf numFmtId="168" fontId="0" fillId="0" borderId="0" xfId="0" applyNumberFormat="1"/>
    <xf numFmtId="1" fontId="0" fillId="0" borderId="0" xfId="0" applyNumberFormat="1"/>
    <xf numFmtId="0" fontId="7" fillId="0" borderId="0" xfId="0" applyFont="1"/>
    <xf numFmtId="0" fontId="6" fillId="3" borderId="0" xfId="0" applyFont="1" applyFill="1"/>
    <xf numFmtId="0" fontId="3" fillId="2" borderId="0" xfId="0" applyFont="1" applyFill="1" applyAlignment="1">
      <alignment wrapText="1"/>
    </xf>
    <xf numFmtId="0" fontId="11" fillId="0" borderId="0" xfId="0" applyFont="1"/>
    <xf numFmtId="164" fontId="10" fillId="0" borderId="0" xfId="0" applyNumberFormat="1" applyFont="1"/>
    <xf numFmtId="169" fontId="10" fillId="0" borderId="0" xfId="0" applyNumberFormat="1" applyFont="1"/>
    <xf numFmtId="1" fontId="10" fillId="0" borderId="0" xfId="0" applyNumberFormat="1" applyFont="1"/>
    <xf numFmtId="165" fontId="10" fillId="0" borderId="0" xfId="0" applyNumberFormat="1" applyFon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67" fontId="0" fillId="0" borderId="0" xfId="0" applyNumberFormat="1"/>
    <xf numFmtId="2" fontId="0" fillId="0" borderId="0" xfId="0" applyNumberFormat="1"/>
    <xf numFmtId="0" fontId="3" fillId="2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/>
    <xf numFmtId="169" fontId="4" fillId="0" borderId="0" xfId="0" applyNumberFormat="1" applyFont="1"/>
    <xf numFmtId="0" fontId="9" fillId="0" borderId="0" xfId="0" applyFont="1"/>
    <xf numFmtId="0" fontId="4" fillId="0" borderId="1" xfId="0" applyFont="1" applyBorder="1"/>
    <xf numFmtId="0" fontId="8" fillId="0" borderId="1" xfId="0" applyFont="1" applyBorder="1"/>
    <xf numFmtId="0" fontId="0" fillId="0" borderId="1" xfId="0" applyBorder="1"/>
    <xf numFmtId="164" fontId="4" fillId="0" borderId="1" xfId="0" applyNumberFormat="1" applyFont="1" applyBorder="1"/>
    <xf numFmtId="17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13"/>
  <sheetViews>
    <sheetView tabSelected="1" workbookViewId="0"/>
  </sheetViews>
  <sheetFormatPr defaultRowHeight="14.25" x14ac:dyDescent="0.45"/>
  <cols>
    <col min="1" max="1" width="2" customWidth="1"/>
    <col min="2" max="2" width="120" customWidth="1"/>
  </cols>
  <sheetData>
    <row r="2" spans="2:2" ht="21" x14ac:dyDescent="0.45">
      <c r="B2" s="1" t="s">
        <v>0</v>
      </c>
    </row>
    <row r="3" spans="2:2" ht="46.05" customHeight="1" x14ac:dyDescent="0.45">
      <c r="B3" s="2" t="s">
        <v>1</v>
      </c>
    </row>
    <row r="4" spans="2:2" ht="46.05" customHeight="1" x14ac:dyDescent="0.45">
      <c r="B4" s="3" t="s">
        <v>2</v>
      </c>
    </row>
    <row r="5" spans="2:2" x14ac:dyDescent="0.45">
      <c r="B5" s="3"/>
    </row>
    <row r="6" spans="2:2" ht="46.05" customHeight="1" x14ac:dyDescent="0.45">
      <c r="B6" s="3" t="s">
        <v>3</v>
      </c>
    </row>
    <row r="7" spans="2:2" x14ac:dyDescent="0.45">
      <c r="B7" s="3" t="s">
        <v>4</v>
      </c>
    </row>
    <row r="8" spans="2:2" x14ac:dyDescent="0.45">
      <c r="B8" s="3"/>
    </row>
    <row r="10" spans="2:2" x14ac:dyDescent="0.45">
      <c r="B10" s="4" t="s">
        <v>5</v>
      </c>
    </row>
    <row r="11" spans="2:2" x14ac:dyDescent="0.45">
      <c r="B11" s="5" t="str">
        <f>CheckStatus</f>
        <v>All 39 checks OK</v>
      </c>
    </row>
    <row r="13" spans="2:2" ht="46.05" customHeight="1" x14ac:dyDescent="0.45">
      <c r="B13" s="6" t="s">
        <v>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V51"/>
  <sheetViews>
    <sheetView workbookViewId="0"/>
  </sheetViews>
  <sheetFormatPr defaultRowHeight="14.25" x14ac:dyDescent="0.45"/>
  <cols>
    <col min="1" max="1" width="2" customWidth="1"/>
    <col min="2" max="2" width="24" customWidth="1"/>
    <col min="3" max="3" width="12" customWidth="1"/>
    <col min="4" max="4" width="60" customWidth="1"/>
    <col min="5" max="5" width="34" customWidth="1"/>
    <col min="6" max="17" width="12.46484375" customWidth="1"/>
  </cols>
  <sheetData>
    <row r="1" spans="2:9" ht="18" x14ac:dyDescent="0.55000000000000004">
      <c r="B1" s="7" t="s">
        <v>7</v>
      </c>
    </row>
    <row r="2" spans="2:9" x14ac:dyDescent="0.45">
      <c r="B2" s="8" t="s">
        <v>8</v>
      </c>
    </row>
    <row r="4" spans="2:9" x14ac:dyDescent="0.45">
      <c r="B4" s="9" t="s">
        <v>9</v>
      </c>
      <c r="C4" s="9" t="s">
        <v>10</v>
      </c>
      <c r="D4" s="9" t="s">
        <v>11</v>
      </c>
      <c r="E4" s="9" t="s">
        <v>12</v>
      </c>
      <c r="F4" s="9" t="s">
        <v>13</v>
      </c>
      <c r="G4" s="9" t="s">
        <v>14</v>
      </c>
      <c r="H4" s="9" t="s">
        <v>15</v>
      </c>
      <c r="I4" s="9" t="s">
        <v>16</v>
      </c>
    </row>
    <row r="5" spans="2:9" x14ac:dyDescent="0.45">
      <c r="B5" t="s">
        <v>17</v>
      </c>
      <c r="C5" t="s">
        <v>18</v>
      </c>
      <c r="D5" t="s">
        <v>19</v>
      </c>
      <c r="E5" t="s">
        <v>20</v>
      </c>
      <c r="F5" t="s">
        <v>21</v>
      </c>
      <c r="G5" s="10">
        <v>186640</v>
      </c>
      <c r="H5" t="s">
        <v>22</v>
      </c>
      <c r="I5" t="s">
        <v>23</v>
      </c>
    </row>
    <row r="6" spans="2:9" x14ac:dyDescent="0.45">
      <c r="B6" t="s">
        <v>24</v>
      </c>
      <c r="C6" t="s">
        <v>18</v>
      </c>
      <c r="D6" t="s">
        <v>25</v>
      </c>
      <c r="E6" t="s">
        <v>20</v>
      </c>
      <c r="F6" t="s">
        <v>21</v>
      </c>
      <c r="G6" s="10">
        <v>219670</v>
      </c>
      <c r="H6" t="s">
        <v>22</v>
      </c>
      <c r="I6" t="s">
        <v>26</v>
      </c>
    </row>
    <row r="7" spans="2:9" x14ac:dyDescent="0.45">
      <c r="B7" t="s">
        <v>27</v>
      </c>
      <c r="C7" t="s">
        <v>18</v>
      </c>
      <c r="D7" t="s">
        <v>28</v>
      </c>
      <c r="E7" t="s">
        <v>20</v>
      </c>
      <c r="F7" t="s">
        <v>21</v>
      </c>
      <c r="G7" s="10">
        <v>232890</v>
      </c>
      <c r="H7" t="s">
        <v>22</v>
      </c>
      <c r="I7" t="s">
        <v>29</v>
      </c>
    </row>
    <row r="8" spans="2:9" x14ac:dyDescent="0.45">
      <c r="B8" t="s">
        <v>30</v>
      </c>
      <c r="C8" t="s">
        <v>18</v>
      </c>
      <c r="D8" t="s">
        <v>31</v>
      </c>
      <c r="E8" t="s">
        <v>20</v>
      </c>
      <c r="F8" t="s">
        <v>21</v>
      </c>
      <c r="G8" s="10">
        <v>96960</v>
      </c>
      <c r="H8" t="s">
        <v>22</v>
      </c>
      <c r="I8" t="s">
        <v>32</v>
      </c>
    </row>
    <row r="9" spans="2:9" x14ac:dyDescent="0.45">
      <c r="B9" t="s">
        <v>33</v>
      </c>
      <c r="C9" t="s">
        <v>18</v>
      </c>
      <c r="D9" t="s">
        <v>34</v>
      </c>
      <c r="E9" t="s">
        <v>20</v>
      </c>
      <c r="F9" t="s">
        <v>21</v>
      </c>
      <c r="G9" s="10">
        <v>130710</v>
      </c>
      <c r="H9" t="s">
        <v>22</v>
      </c>
      <c r="I9" t="s">
        <v>35</v>
      </c>
    </row>
    <row r="10" spans="2:9" x14ac:dyDescent="0.45">
      <c r="B10" t="s">
        <v>36</v>
      </c>
      <c r="C10" t="s">
        <v>18</v>
      </c>
      <c r="D10" t="s">
        <v>37</v>
      </c>
      <c r="E10" t="s">
        <v>20</v>
      </c>
      <c r="F10" t="s">
        <v>21</v>
      </c>
      <c r="G10" s="10">
        <v>171570</v>
      </c>
      <c r="H10" t="s">
        <v>22</v>
      </c>
      <c r="I10" t="s">
        <v>38</v>
      </c>
    </row>
    <row r="11" spans="2:9" x14ac:dyDescent="0.45">
      <c r="B11" t="s">
        <v>39</v>
      </c>
      <c r="C11" t="s">
        <v>18</v>
      </c>
      <c r="D11" t="s">
        <v>40</v>
      </c>
      <c r="E11" t="s">
        <v>20</v>
      </c>
      <c r="F11" t="s">
        <v>21</v>
      </c>
      <c r="G11" s="10">
        <v>170810</v>
      </c>
      <c r="H11" t="s">
        <v>22</v>
      </c>
      <c r="I11" t="s">
        <v>41</v>
      </c>
    </row>
    <row r="12" spans="2:9" x14ac:dyDescent="0.45">
      <c r="B12" t="s">
        <v>42</v>
      </c>
      <c r="C12" t="s">
        <v>18</v>
      </c>
      <c r="D12" t="s">
        <v>43</v>
      </c>
      <c r="E12" t="s">
        <v>20</v>
      </c>
      <c r="F12" t="s">
        <v>21</v>
      </c>
      <c r="G12" s="10">
        <v>123250</v>
      </c>
      <c r="H12" t="s">
        <v>22</v>
      </c>
      <c r="I12" t="s">
        <v>44</v>
      </c>
    </row>
    <row r="13" spans="2:9" x14ac:dyDescent="0.45">
      <c r="B13" t="s">
        <v>45</v>
      </c>
      <c r="C13" t="s">
        <v>18</v>
      </c>
      <c r="D13" t="s">
        <v>46</v>
      </c>
      <c r="E13" t="s">
        <v>20</v>
      </c>
      <c r="F13" t="s">
        <v>21</v>
      </c>
      <c r="G13" s="10">
        <v>170560</v>
      </c>
      <c r="H13" t="s">
        <v>22</v>
      </c>
      <c r="I13" t="s">
        <v>47</v>
      </c>
    </row>
    <row r="14" spans="2:9" x14ac:dyDescent="0.45">
      <c r="B14" t="s">
        <v>48</v>
      </c>
      <c r="C14" t="s">
        <v>18</v>
      </c>
      <c r="D14" t="s">
        <v>49</v>
      </c>
      <c r="E14" t="s">
        <v>20</v>
      </c>
      <c r="F14" t="s">
        <v>21</v>
      </c>
      <c r="G14" s="10">
        <v>220480</v>
      </c>
      <c r="H14" t="s">
        <v>22</v>
      </c>
      <c r="I14" t="s">
        <v>50</v>
      </c>
    </row>
    <row r="15" spans="2:9" x14ac:dyDescent="0.45">
      <c r="B15" t="s">
        <v>51</v>
      </c>
      <c r="C15" t="s">
        <v>18</v>
      </c>
      <c r="D15" t="s">
        <v>52</v>
      </c>
      <c r="E15" t="s">
        <v>20</v>
      </c>
      <c r="F15" t="s">
        <v>21</v>
      </c>
      <c r="G15" s="10">
        <v>89440</v>
      </c>
      <c r="H15" t="s">
        <v>22</v>
      </c>
      <c r="I15" t="s">
        <v>53</v>
      </c>
    </row>
    <row r="16" spans="2:9" x14ac:dyDescent="0.45">
      <c r="B16" t="s">
        <v>54</v>
      </c>
      <c r="C16" t="s">
        <v>18</v>
      </c>
      <c r="D16" t="s">
        <v>55</v>
      </c>
      <c r="E16" t="s">
        <v>20</v>
      </c>
      <c r="F16" t="s">
        <v>21</v>
      </c>
      <c r="G16" s="10">
        <v>106900</v>
      </c>
      <c r="H16" t="s">
        <v>22</v>
      </c>
      <c r="I16" t="s">
        <v>56</v>
      </c>
    </row>
    <row r="17" spans="2:9" x14ac:dyDescent="0.45">
      <c r="B17" t="s">
        <v>57</v>
      </c>
      <c r="C17" t="s">
        <v>18</v>
      </c>
      <c r="D17" t="s">
        <v>58</v>
      </c>
      <c r="E17" t="s">
        <v>20</v>
      </c>
      <c r="F17" t="s">
        <v>21</v>
      </c>
      <c r="G17" s="10">
        <v>210080</v>
      </c>
      <c r="H17" t="s">
        <v>22</v>
      </c>
      <c r="I17" t="s">
        <v>59</v>
      </c>
    </row>
    <row r="18" spans="2:9" x14ac:dyDescent="0.45">
      <c r="B18" t="s">
        <v>60</v>
      </c>
      <c r="C18" t="s">
        <v>18</v>
      </c>
      <c r="D18" t="s">
        <v>61</v>
      </c>
      <c r="E18" t="s">
        <v>20</v>
      </c>
      <c r="F18" t="s">
        <v>21</v>
      </c>
      <c r="G18" s="10">
        <v>110730</v>
      </c>
      <c r="H18" t="s">
        <v>22</v>
      </c>
      <c r="I18" t="s">
        <v>62</v>
      </c>
    </row>
    <row r="19" spans="2:9" x14ac:dyDescent="0.45">
      <c r="B19" t="s">
        <v>63</v>
      </c>
      <c r="C19" t="s">
        <v>18</v>
      </c>
      <c r="D19" t="s">
        <v>64</v>
      </c>
      <c r="E19" t="s">
        <v>20</v>
      </c>
      <c r="F19" t="s">
        <v>21</v>
      </c>
      <c r="G19" s="10">
        <v>143590</v>
      </c>
      <c r="H19" t="s">
        <v>22</v>
      </c>
      <c r="I19" t="s">
        <v>65</v>
      </c>
    </row>
    <row r="20" spans="2:9" x14ac:dyDescent="0.45">
      <c r="B20" t="s">
        <v>66</v>
      </c>
      <c r="C20" t="s">
        <v>18</v>
      </c>
      <c r="D20" t="s">
        <v>67</v>
      </c>
      <c r="E20" t="s">
        <v>20</v>
      </c>
      <c r="F20" t="s">
        <v>21</v>
      </c>
      <c r="G20" s="10">
        <v>216150</v>
      </c>
      <c r="H20" t="s">
        <v>22</v>
      </c>
      <c r="I20" t="s">
        <v>68</v>
      </c>
    </row>
    <row r="21" spans="2:9" x14ac:dyDescent="0.45">
      <c r="B21" t="s">
        <v>69</v>
      </c>
      <c r="C21" t="s">
        <v>70</v>
      </c>
      <c r="D21" t="s">
        <v>71</v>
      </c>
      <c r="E21" t="s">
        <v>72</v>
      </c>
      <c r="F21" t="s">
        <v>73</v>
      </c>
      <c r="G21" s="10">
        <v>54.46</v>
      </c>
      <c r="H21" t="s">
        <v>74</v>
      </c>
      <c r="I21" t="s">
        <v>75</v>
      </c>
    </row>
    <row r="22" spans="2:9" x14ac:dyDescent="0.45">
      <c r="B22" t="s">
        <v>76</v>
      </c>
      <c r="C22" t="s">
        <v>70</v>
      </c>
      <c r="D22" t="s">
        <v>77</v>
      </c>
      <c r="E22" t="s">
        <v>72</v>
      </c>
      <c r="F22" t="s">
        <v>73</v>
      </c>
      <c r="G22" s="10">
        <v>8.6300000000000008</v>
      </c>
      <c r="H22" t="s">
        <v>74</v>
      </c>
      <c r="I22" t="s">
        <v>78</v>
      </c>
    </row>
    <row r="23" spans="2:9" x14ac:dyDescent="0.45">
      <c r="B23" t="s">
        <v>79</v>
      </c>
      <c r="C23" t="s">
        <v>70</v>
      </c>
      <c r="D23" t="s">
        <v>80</v>
      </c>
      <c r="E23" t="s">
        <v>72</v>
      </c>
      <c r="F23" t="s">
        <v>73</v>
      </c>
      <c r="G23" s="10">
        <v>4.5</v>
      </c>
      <c r="H23" t="s">
        <v>74</v>
      </c>
      <c r="I23" t="s">
        <v>81</v>
      </c>
    </row>
    <row r="24" spans="2:9" x14ac:dyDescent="0.45">
      <c r="B24" t="s">
        <v>82</v>
      </c>
      <c r="C24" t="s">
        <v>70</v>
      </c>
      <c r="D24" t="s">
        <v>83</v>
      </c>
      <c r="E24" t="s">
        <v>72</v>
      </c>
      <c r="F24" t="s">
        <v>73</v>
      </c>
      <c r="G24" s="10">
        <v>8.06</v>
      </c>
      <c r="H24" t="s">
        <v>74</v>
      </c>
      <c r="I24" t="s">
        <v>84</v>
      </c>
    </row>
    <row r="25" spans="2:9" x14ac:dyDescent="0.45">
      <c r="B25" t="s">
        <v>85</v>
      </c>
      <c r="C25" t="s">
        <v>70</v>
      </c>
      <c r="D25" t="s">
        <v>86</v>
      </c>
      <c r="E25" t="s">
        <v>72</v>
      </c>
      <c r="F25" t="s">
        <v>73</v>
      </c>
      <c r="G25" s="10">
        <v>3.26</v>
      </c>
      <c r="H25" t="s">
        <v>74</v>
      </c>
      <c r="I25" t="s">
        <v>87</v>
      </c>
    </row>
    <row r="26" spans="2:9" x14ac:dyDescent="0.45">
      <c r="B26" t="s">
        <v>88</v>
      </c>
      <c r="C26" t="s">
        <v>70</v>
      </c>
      <c r="D26" t="s">
        <v>89</v>
      </c>
      <c r="E26" t="s">
        <v>72</v>
      </c>
      <c r="F26" t="s">
        <v>73</v>
      </c>
      <c r="G26" s="10">
        <v>5.38</v>
      </c>
      <c r="H26" t="s">
        <v>74</v>
      </c>
      <c r="I26" t="s">
        <v>90</v>
      </c>
    </row>
    <row r="27" spans="2:9" x14ac:dyDescent="0.45">
      <c r="B27" t="s">
        <v>91</v>
      </c>
      <c r="C27" t="s">
        <v>92</v>
      </c>
      <c r="D27" t="s">
        <v>93</v>
      </c>
      <c r="E27" t="s">
        <v>72</v>
      </c>
      <c r="F27" t="s">
        <v>73</v>
      </c>
      <c r="G27" s="10">
        <v>168.05099999999999</v>
      </c>
      <c r="H27" t="s">
        <v>94</v>
      </c>
      <c r="I27" t="s">
        <v>95</v>
      </c>
    </row>
    <row r="28" spans="2:9" x14ac:dyDescent="0.45">
      <c r="B28" t="s">
        <v>91</v>
      </c>
      <c r="C28" t="s">
        <v>92</v>
      </c>
      <c r="D28" t="s">
        <v>93</v>
      </c>
      <c r="E28" t="s">
        <v>72</v>
      </c>
      <c r="F28" t="s">
        <v>96</v>
      </c>
      <c r="G28" s="10">
        <v>166.99199999999999</v>
      </c>
      <c r="H28" t="s">
        <v>94</v>
      </c>
      <c r="I28" t="s">
        <v>95</v>
      </c>
    </row>
    <row r="29" spans="2:9" x14ac:dyDescent="0.45">
      <c r="B29" t="s">
        <v>91</v>
      </c>
      <c r="C29" t="s">
        <v>92</v>
      </c>
      <c r="D29" t="s">
        <v>93</v>
      </c>
      <c r="E29" t="s">
        <v>72</v>
      </c>
      <c r="F29" t="s">
        <v>97</v>
      </c>
      <c r="G29" s="10">
        <v>164.38200000000001</v>
      </c>
      <c r="H29" t="s">
        <v>94</v>
      </c>
      <c r="I29" t="s">
        <v>95</v>
      </c>
    </row>
    <row r="30" spans="2:9" x14ac:dyDescent="0.45">
      <c r="B30" t="s">
        <v>91</v>
      </c>
      <c r="C30" t="s">
        <v>92</v>
      </c>
      <c r="D30" t="s">
        <v>93</v>
      </c>
      <c r="E30" t="s">
        <v>72</v>
      </c>
      <c r="F30" t="s">
        <v>98</v>
      </c>
      <c r="G30" s="10">
        <v>164.16800000000001</v>
      </c>
      <c r="H30" t="s">
        <v>94</v>
      </c>
      <c r="I30" t="s">
        <v>95</v>
      </c>
    </row>
    <row r="31" spans="2:9" x14ac:dyDescent="0.45">
      <c r="B31" t="s">
        <v>91</v>
      </c>
      <c r="C31" t="s">
        <v>92</v>
      </c>
      <c r="D31" t="s">
        <v>93</v>
      </c>
      <c r="E31" t="s">
        <v>72</v>
      </c>
      <c r="F31" t="s">
        <v>99</v>
      </c>
      <c r="G31" s="10">
        <v>163.262</v>
      </c>
      <c r="H31" t="s">
        <v>94</v>
      </c>
      <c r="I31" t="s">
        <v>95</v>
      </c>
    </row>
    <row r="32" spans="2:9" x14ac:dyDescent="0.45">
      <c r="B32" t="s">
        <v>100</v>
      </c>
      <c r="C32" t="s">
        <v>92</v>
      </c>
      <c r="D32" t="s">
        <v>101</v>
      </c>
      <c r="E32" t="s">
        <v>72</v>
      </c>
      <c r="F32" t="s">
        <v>73</v>
      </c>
      <c r="G32" s="10">
        <v>2.9</v>
      </c>
      <c r="H32" t="s">
        <v>102</v>
      </c>
      <c r="I32" t="s">
        <v>103</v>
      </c>
    </row>
    <row r="33" spans="2:22" x14ac:dyDescent="0.45">
      <c r="B33" t="s">
        <v>100</v>
      </c>
      <c r="C33" t="s">
        <v>92</v>
      </c>
      <c r="D33" t="s">
        <v>101</v>
      </c>
      <c r="E33" t="s">
        <v>72</v>
      </c>
      <c r="F33" t="s">
        <v>96</v>
      </c>
      <c r="G33" s="10">
        <v>3.5</v>
      </c>
      <c r="H33" t="s">
        <v>102</v>
      </c>
      <c r="I33" t="s">
        <v>103</v>
      </c>
    </row>
    <row r="34" spans="2:22" x14ac:dyDescent="0.45">
      <c r="B34" t="s">
        <v>100</v>
      </c>
      <c r="C34" t="s">
        <v>92</v>
      </c>
      <c r="D34" t="s">
        <v>101</v>
      </c>
      <c r="E34" t="s">
        <v>72</v>
      </c>
      <c r="F34" t="s">
        <v>97</v>
      </c>
      <c r="G34" s="10">
        <v>2</v>
      </c>
      <c r="H34" t="s">
        <v>102</v>
      </c>
      <c r="I34" t="s">
        <v>103</v>
      </c>
    </row>
    <row r="35" spans="2:22" x14ac:dyDescent="0.45">
      <c r="B35" t="s">
        <v>100</v>
      </c>
      <c r="C35" t="s">
        <v>92</v>
      </c>
      <c r="D35" t="s">
        <v>101</v>
      </c>
      <c r="E35" t="s">
        <v>72</v>
      </c>
      <c r="F35" t="s">
        <v>98</v>
      </c>
      <c r="G35" s="10">
        <v>2.2000000000000002</v>
      </c>
      <c r="H35" t="s">
        <v>102</v>
      </c>
      <c r="I35" t="s">
        <v>103</v>
      </c>
    </row>
    <row r="36" spans="2:22" x14ac:dyDescent="0.45">
      <c r="B36" t="s">
        <v>100</v>
      </c>
      <c r="C36" t="s">
        <v>92</v>
      </c>
      <c r="D36" t="s">
        <v>101</v>
      </c>
      <c r="E36" t="s">
        <v>72</v>
      </c>
      <c r="F36" t="s">
        <v>99</v>
      </c>
      <c r="G36" s="10">
        <v>3.1</v>
      </c>
      <c r="H36" t="s">
        <v>102</v>
      </c>
      <c r="I36" t="s">
        <v>103</v>
      </c>
    </row>
    <row r="38" spans="2:22" x14ac:dyDescent="0.45">
      <c r="B38" s="4" t="s">
        <v>104</v>
      </c>
    </row>
    <row r="39" spans="2:22" x14ac:dyDescent="0.45">
      <c r="B39" s="9" t="s">
        <v>105</v>
      </c>
      <c r="C39" s="9" t="s">
        <v>106</v>
      </c>
      <c r="D39" s="9" t="s">
        <v>107</v>
      </c>
      <c r="E39" s="9" t="s">
        <v>108</v>
      </c>
      <c r="F39" s="9" t="s">
        <v>109</v>
      </c>
      <c r="G39" s="9" t="s">
        <v>110</v>
      </c>
      <c r="H39" s="9" t="s">
        <v>111</v>
      </c>
      <c r="I39" s="9" t="s">
        <v>112</v>
      </c>
      <c r="J39" s="9" t="s">
        <v>113</v>
      </c>
      <c r="K39" s="9" t="s">
        <v>114</v>
      </c>
      <c r="L39" s="9" t="s">
        <v>115</v>
      </c>
      <c r="M39" s="9" t="s">
        <v>116</v>
      </c>
      <c r="N39" s="9" t="s">
        <v>117</v>
      </c>
      <c r="O39" s="9" t="s">
        <v>118</v>
      </c>
      <c r="P39" s="9" t="s">
        <v>119</v>
      </c>
      <c r="Q39" s="9" t="s">
        <v>120</v>
      </c>
      <c r="R39" s="9" t="s">
        <v>121</v>
      </c>
      <c r="S39" s="9" t="s">
        <v>122</v>
      </c>
      <c r="T39" s="9" t="s">
        <v>123</v>
      </c>
      <c r="U39" s="9" t="s">
        <v>124</v>
      </c>
      <c r="V39" s="9" t="s">
        <v>125</v>
      </c>
    </row>
    <row r="40" spans="2:22" x14ac:dyDescent="0.45">
      <c r="B40" s="11" t="s">
        <v>126</v>
      </c>
      <c r="C40" s="11" t="s">
        <v>127</v>
      </c>
      <c r="D40" s="11" t="s">
        <v>128</v>
      </c>
      <c r="E40" s="11" t="s">
        <v>129</v>
      </c>
      <c r="F40" s="11">
        <v>156849000</v>
      </c>
      <c r="G40" s="11">
        <v>39425000</v>
      </c>
      <c r="H40" s="11">
        <v>60042000</v>
      </c>
      <c r="I40" s="11">
        <v>56596000</v>
      </c>
      <c r="J40" s="11">
        <v>48910000</v>
      </c>
      <c r="K40" s="11">
        <v>24464000</v>
      </c>
      <c r="L40" s="11">
        <v>-48124000</v>
      </c>
      <c r="M40" s="11">
        <v>577</v>
      </c>
      <c r="N40" s="11">
        <f t="shared" ref="N40:N48" si="0">F40/M40</f>
        <v>271835.35528596188</v>
      </c>
      <c r="O40" s="12">
        <f t="shared" ref="O40:O48" si="1">1-G40/F40</f>
        <v>0.74864359989544083</v>
      </c>
      <c r="P40" s="12">
        <f t="shared" ref="P40:P48" si="2">IF(ISNUMBER(H40),H40/F40,"")</f>
        <v>0.3828012929632959</v>
      </c>
      <c r="Q40" s="12">
        <f t="shared" ref="Q40:Q48" si="3">IF(ISNUMBER(I40),I40/F40,"")</f>
        <v>0.36083111782669958</v>
      </c>
      <c r="R40" s="12">
        <f t="shared" ref="R40:R48" si="4">IF(ISNUMBER(J40),J40/F40,"")</f>
        <v>0.31182857397879488</v>
      </c>
      <c r="S40" s="12">
        <f t="shared" ref="S40:S48" si="5">IF(ISNUMBER(K40),K40/F40,"")</f>
        <v>0.1559716670173224</v>
      </c>
      <c r="T40" s="12">
        <f t="shared" ref="T40:T48" si="6">IF(ISNUMBER(L40),L40/F40,"")</f>
        <v>-0.30681738487334953</v>
      </c>
      <c r="U40" t="s">
        <v>130</v>
      </c>
      <c r="V40" t="s">
        <v>131</v>
      </c>
    </row>
    <row r="41" spans="2:22" x14ac:dyDescent="0.45">
      <c r="B41" s="11" t="s">
        <v>132</v>
      </c>
      <c r="C41" s="11" t="s">
        <v>133</v>
      </c>
      <c r="D41" s="11" t="s">
        <v>134</v>
      </c>
      <c r="E41" s="11" t="s">
        <v>129</v>
      </c>
      <c r="F41" s="11">
        <v>343214000</v>
      </c>
      <c r="G41" s="11">
        <v>89286000</v>
      </c>
      <c r="H41" s="11">
        <v>188033000</v>
      </c>
      <c r="I41" s="11">
        <v>97582000</v>
      </c>
      <c r="J41" s="11">
        <v>64318000</v>
      </c>
      <c r="K41" s="11">
        <v>92125000</v>
      </c>
      <c r="L41" s="11"/>
      <c r="M41" s="11">
        <v>780</v>
      </c>
      <c r="N41" s="11">
        <f t="shared" si="0"/>
        <v>440017.94871794869</v>
      </c>
      <c r="O41" s="12">
        <f t="shared" si="1"/>
        <v>0.73985326938877782</v>
      </c>
      <c r="P41" s="12">
        <f t="shared" si="2"/>
        <v>0.54785935305669353</v>
      </c>
      <c r="Q41" s="12">
        <f t="shared" si="3"/>
        <v>0.28431823876648388</v>
      </c>
      <c r="R41" s="12">
        <f t="shared" si="4"/>
        <v>0.18739911542069962</v>
      </c>
      <c r="S41" s="12">
        <f t="shared" si="5"/>
        <v>0.26841853770533836</v>
      </c>
      <c r="T41" s="12" t="str">
        <f t="shared" si="6"/>
        <v/>
      </c>
      <c r="U41" t="s">
        <v>135</v>
      </c>
      <c r="V41" t="s">
        <v>136</v>
      </c>
    </row>
    <row r="42" spans="2:22" x14ac:dyDescent="0.45">
      <c r="B42" s="11" t="s">
        <v>137</v>
      </c>
      <c r="C42" s="11" t="s">
        <v>138</v>
      </c>
      <c r="D42" s="11" t="s">
        <v>139</v>
      </c>
      <c r="E42" s="11" t="s">
        <v>129</v>
      </c>
      <c r="F42" s="11">
        <v>239024000</v>
      </c>
      <c r="G42" s="11">
        <v>66716000</v>
      </c>
      <c r="H42" s="11">
        <v>102703000</v>
      </c>
      <c r="I42" s="11">
        <v>44462000</v>
      </c>
      <c r="J42" s="11">
        <v>55753000</v>
      </c>
      <c r="K42" s="11">
        <v>32131000</v>
      </c>
      <c r="L42" s="11">
        <v>-30610000</v>
      </c>
      <c r="M42" s="11">
        <v>904</v>
      </c>
      <c r="N42" s="11">
        <f t="shared" si="0"/>
        <v>264407.07964601769</v>
      </c>
      <c r="O42" s="12">
        <f t="shared" si="1"/>
        <v>0.7208815851127921</v>
      </c>
      <c r="P42" s="12">
        <f t="shared" si="2"/>
        <v>0.42967651783921279</v>
      </c>
      <c r="Q42" s="12">
        <f t="shared" si="3"/>
        <v>0.18601479349354039</v>
      </c>
      <c r="R42" s="12">
        <f t="shared" si="4"/>
        <v>0.23325272775955552</v>
      </c>
      <c r="S42" s="12">
        <f t="shared" si="5"/>
        <v>0.13442583171564362</v>
      </c>
      <c r="T42" s="12">
        <f t="shared" si="6"/>
        <v>-0.12806245397951671</v>
      </c>
      <c r="U42" t="s">
        <v>140</v>
      </c>
      <c r="V42" t="s">
        <v>141</v>
      </c>
    </row>
    <row r="43" spans="2:22" x14ac:dyDescent="0.45">
      <c r="B43" s="11" t="s">
        <v>142</v>
      </c>
      <c r="C43" s="11" t="s">
        <v>143</v>
      </c>
      <c r="D43" s="11" t="s">
        <v>144</v>
      </c>
      <c r="E43" s="11" t="s">
        <v>145</v>
      </c>
      <c r="F43" s="11">
        <v>91136000</v>
      </c>
      <c r="G43" s="11">
        <v>24286000</v>
      </c>
      <c r="H43" s="11">
        <v>19476000</v>
      </c>
      <c r="I43" s="11">
        <v>29449000</v>
      </c>
      <c r="J43" s="11">
        <v>9960000</v>
      </c>
      <c r="K43" s="11">
        <v>2802000</v>
      </c>
      <c r="L43" s="11">
        <v>7965000</v>
      </c>
      <c r="M43" s="11">
        <v>422</v>
      </c>
      <c r="N43" s="11">
        <f t="shared" si="0"/>
        <v>215962.08530805688</v>
      </c>
      <c r="O43" s="12">
        <f t="shared" si="1"/>
        <v>0.73351913623595499</v>
      </c>
      <c r="P43" s="12">
        <f t="shared" si="2"/>
        <v>0.21370259831460675</v>
      </c>
      <c r="Q43" s="12">
        <f t="shared" si="3"/>
        <v>0.3231324613764045</v>
      </c>
      <c r="R43" s="12">
        <f t="shared" si="4"/>
        <v>0.1092872191011236</v>
      </c>
      <c r="S43" s="12">
        <f t="shared" si="5"/>
        <v>3.0745259831460675E-2</v>
      </c>
      <c r="T43" s="12">
        <f t="shared" si="6"/>
        <v>8.7396857443820225E-2</v>
      </c>
      <c r="U43" t="s">
        <v>146</v>
      </c>
      <c r="V43" t="s">
        <v>147</v>
      </c>
    </row>
    <row r="44" spans="2:22" x14ac:dyDescent="0.45">
      <c r="B44" s="11" t="s">
        <v>148</v>
      </c>
      <c r="C44" s="11" t="s">
        <v>149</v>
      </c>
      <c r="D44" s="11" t="s">
        <v>150</v>
      </c>
      <c r="E44" s="11" t="s">
        <v>151</v>
      </c>
      <c r="F44" s="11">
        <v>446579000</v>
      </c>
      <c r="G44" s="11">
        <v>114068000</v>
      </c>
      <c r="H44" s="11">
        <v>134765000</v>
      </c>
      <c r="I44" s="11">
        <v>89874000</v>
      </c>
      <c r="J44" s="11">
        <v>63323000</v>
      </c>
      <c r="K44" s="11">
        <v>48711000</v>
      </c>
      <c r="L44" s="11">
        <v>44549000</v>
      </c>
      <c r="M44" s="11">
        <v>1120</v>
      </c>
      <c r="N44" s="11">
        <f t="shared" si="0"/>
        <v>398731.25</v>
      </c>
      <c r="O44" s="12">
        <f t="shared" si="1"/>
        <v>0.74457374842972912</v>
      </c>
      <c r="P44" s="12">
        <f t="shared" si="2"/>
        <v>0.30177191493554334</v>
      </c>
      <c r="Q44" s="12">
        <f t="shared" si="3"/>
        <v>0.20124994681792024</v>
      </c>
      <c r="R44" s="12">
        <f t="shared" si="4"/>
        <v>0.14179574050727867</v>
      </c>
      <c r="S44" s="12">
        <f t="shared" si="5"/>
        <v>0.10907588578952436</v>
      </c>
      <c r="T44" s="12">
        <f t="shared" si="6"/>
        <v>9.9756146168986898E-2</v>
      </c>
      <c r="U44" t="s">
        <v>152</v>
      </c>
      <c r="V44" t="s">
        <v>153</v>
      </c>
    </row>
    <row r="45" spans="2:22" x14ac:dyDescent="0.45">
      <c r="B45" s="11" t="s">
        <v>154</v>
      </c>
      <c r="C45" s="11" t="s">
        <v>155</v>
      </c>
      <c r="D45" s="11" t="s">
        <v>156</v>
      </c>
      <c r="E45" s="11" t="s">
        <v>129</v>
      </c>
      <c r="F45" s="11">
        <v>142101000</v>
      </c>
      <c r="G45" s="11">
        <v>70574000</v>
      </c>
      <c r="H45" s="11">
        <v>26742000</v>
      </c>
      <c r="I45" s="11">
        <v>20683000</v>
      </c>
      <c r="J45" s="11">
        <v>42121000</v>
      </c>
      <c r="K45" s="11">
        <v>26578000</v>
      </c>
      <c r="L45" s="11">
        <v>-18019000</v>
      </c>
      <c r="M45" s="11">
        <v>117</v>
      </c>
      <c r="N45" s="11">
        <f t="shared" si="0"/>
        <v>1214538.4615384615</v>
      </c>
      <c r="O45" s="12">
        <f t="shared" si="1"/>
        <v>0.50335324874561049</v>
      </c>
      <c r="P45" s="12">
        <f t="shared" si="2"/>
        <v>0.18819009014714885</v>
      </c>
      <c r="Q45" s="12">
        <f t="shared" si="3"/>
        <v>0.14555140357914442</v>
      </c>
      <c r="R45" s="12">
        <f t="shared" si="4"/>
        <v>0.29641592951492246</v>
      </c>
      <c r="S45" s="12">
        <f t="shared" si="5"/>
        <v>0.18703598144981387</v>
      </c>
      <c r="T45" s="12">
        <f t="shared" si="6"/>
        <v>-0.12680417449560524</v>
      </c>
      <c r="U45" t="s">
        <v>157</v>
      </c>
      <c r="V45" t="s">
        <v>158</v>
      </c>
    </row>
    <row r="46" spans="2:22" x14ac:dyDescent="0.45">
      <c r="B46" s="11" t="s">
        <v>159</v>
      </c>
      <c r="C46" s="11" t="s">
        <v>160</v>
      </c>
      <c r="D46" s="11" t="s">
        <v>161</v>
      </c>
      <c r="E46" s="11" t="s">
        <v>129</v>
      </c>
      <c r="F46" s="11">
        <v>342349000</v>
      </c>
      <c r="G46" s="11">
        <v>72752000</v>
      </c>
      <c r="H46" s="11">
        <v>136968000</v>
      </c>
      <c r="I46" s="11">
        <v>73021000</v>
      </c>
      <c r="J46" s="11">
        <v>55863000</v>
      </c>
      <c r="K46" s="11">
        <v>23579000</v>
      </c>
      <c r="L46" s="11">
        <v>-16217000</v>
      </c>
      <c r="M46" s="11">
        <v>1079</v>
      </c>
      <c r="N46" s="11">
        <f t="shared" si="0"/>
        <v>317283.59592215013</v>
      </c>
      <c r="O46" s="12">
        <f t="shared" si="1"/>
        <v>0.78749171167434406</v>
      </c>
      <c r="P46" s="12">
        <f t="shared" si="2"/>
        <v>0.40008295628145546</v>
      </c>
      <c r="Q46" s="12">
        <f t="shared" si="3"/>
        <v>0.21329403620282228</v>
      </c>
      <c r="R46" s="12">
        <f t="shared" si="4"/>
        <v>0.16317558982208213</v>
      </c>
      <c r="S46" s="12">
        <f t="shared" si="5"/>
        <v>6.8874160578824534E-2</v>
      </c>
      <c r="T46" s="12">
        <f t="shared" si="6"/>
        <v>-4.7369789308571081E-2</v>
      </c>
      <c r="U46" t="s">
        <v>162</v>
      </c>
      <c r="V46" t="s">
        <v>163</v>
      </c>
    </row>
    <row r="47" spans="2:22" x14ac:dyDescent="0.45">
      <c r="B47" s="11" t="s">
        <v>164</v>
      </c>
      <c r="C47" s="11" t="s">
        <v>165</v>
      </c>
      <c r="D47" s="11" t="s">
        <v>166</v>
      </c>
      <c r="E47" s="11" t="s">
        <v>151</v>
      </c>
      <c r="F47" s="11">
        <v>492546000</v>
      </c>
      <c r="G47" s="11">
        <v>74142000</v>
      </c>
      <c r="H47" s="11">
        <v>184040000</v>
      </c>
      <c r="I47" s="11">
        <v>126937000</v>
      </c>
      <c r="J47" s="11">
        <v>101587000</v>
      </c>
      <c r="K47" s="11">
        <v>97804000</v>
      </c>
      <c r="L47" s="11">
        <v>5840000</v>
      </c>
      <c r="M47" s="11">
        <v>1155</v>
      </c>
      <c r="N47" s="11">
        <f t="shared" si="0"/>
        <v>426446.75324675324</v>
      </c>
      <c r="O47" s="12">
        <f t="shared" si="1"/>
        <v>0.84947192749509692</v>
      </c>
      <c r="P47" s="12">
        <f t="shared" si="2"/>
        <v>0.37365037986299759</v>
      </c>
      <c r="Q47" s="12">
        <f t="shared" si="3"/>
        <v>0.25771603058394543</v>
      </c>
      <c r="R47" s="12">
        <f t="shared" si="4"/>
        <v>0.20624875646132543</v>
      </c>
      <c r="S47" s="12">
        <f t="shared" si="5"/>
        <v>0.19856825555379598</v>
      </c>
      <c r="T47" s="12">
        <f t="shared" si="6"/>
        <v>1.1856760586828439E-2</v>
      </c>
      <c r="U47" t="s">
        <v>167</v>
      </c>
      <c r="V47" t="s">
        <v>168</v>
      </c>
    </row>
    <row r="48" spans="2:22" x14ac:dyDescent="0.45">
      <c r="B48" s="11" t="s">
        <v>169</v>
      </c>
      <c r="C48" s="11" t="s">
        <v>170</v>
      </c>
      <c r="D48" s="11" t="s">
        <v>171</v>
      </c>
      <c r="E48" s="11" t="s">
        <v>129</v>
      </c>
      <c r="F48" s="11">
        <v>457547000</v>
      </c>
      <c r="G48" s="11">
        <v>102695000</v>
      </c>
      <c r="H48" s="11">
        <v>190559000</v>
      </c>
      <c r="I48" s="11">
        <v>101279000</v>
      </c>
      <c r="J48" s="11">
        <v>106467000</v>
      </c>
      <c r="K48" s="11">
        <v>78719000</v>
      </c>
      <c r="L48" s="11">
        <v>-43453000</v>
      </c>
      <c r="M48" s="11">
        <v>1362</v>
      </c>
      <c r="N48" s="11">
        <f t="shared" si="0"/>
        <v>335937.59177679883</v>
      </c>
      <c r="O48" s="12">
        <f t="shared" si="1"/>
        <v>0.77555311257641291</v>
      </c>
      <c r="P48" s="12">
        <f t="shared" si="2"/>
        <v>0.4164796184872811</v>
      </c>
      <c r="Q48" s="12">
        <f t="shared" si="3"/>
        <v>0.22135212338841692</v>
      </c>
      <c r="R48" s="12">
        <f t="shared" si="4"/>
        <v>0.23269084924608838</v>
      </c>
      <c r="S48" s="12">
        <f t="shared" si="5"/>
        <v>0.17204571333655341</v>
      </c>
      <c r="T48" s="12">
        <f t="shared" si="6"/>
        <v>-9.4969478545373479E-2</v>
      </c>
      <c r="U48" t="s">
        <v>172</v>
      </c>
      <c r="V48" t="s">
        <v>173</v>
      </c>
    </row>
    <row r="49" spans="2:20" x14ac:dyDescent="0.45">
      <c r="B49" s="4" t="s">
        <v>174</v>
      </c>
      <c r="N49" s="13">
        <f t="shared" ref="N49:T49" si="7">MEDIAN(N40:N48)</f>
        <v>335937.59177679883</v>
      </c>
      <c r="O49" s="14">
        <f t="shared" si="7"/>
        <v>0.74457374842972912</v>
      </c>
      <c r="P49" s="14">
        <f t="shared" si="7"/>
        <v>0.3828012929632959</v>
      </c>
      <c r="Q49" s="14">
        <f t="shared" si="7"/>
        <v>0.22135212338841692</v>
      </c>
      <c r="R49" s="14">
        <f t="shared" si="7"/>
        <v>0.20624875646132543</v>
      </c>
      <c r="S49" s="14">
        <f t="shared" si="7"/>
        <v>0.1559716670173224</v>
      </c>
      <c r="T49" s="14">
        <f t="shared" si="7"/>
        <v>-7.1169633926972287E-2</v>
      </c>
    </row>
    <row r="51" spans="2:20" x14ac:dyDescent="0.45">
      <c r="B51" s="15" t="s">
        <v>175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X63"/>
  <sheetViews>
    <sheetView workbookViewId="0"/>
  </sheetViews>
  <sheetFormatPr defaultRowHeight="14.25" x14ac:dyDescent="0.45"/>
  <cols>
    <col min="1" max="1" width="2" customWidth="1"/>
    <col min="2" max="2" width="44" customWidth="1"/>
    <col min="3" max="3" width="12" customWidth="1"/>
    <col min="4" max="4" width="13" customWidth="1"/>
    <col min="5" max="6" width="12.46484375" customWidth="1"/>
    <col min="7" max="7" width="90" customWidth="1"/>
    <col min="8" max="8" width="40" customWidth="1"/>
    <col min="9" max="17" width="12.46484375" customWidth="1"/>
    <col min="18" max="24" width="13" customWidth="1"/>
  </cols>
  <sheetData>
    <row r="1" spans="2:8" ht="18" x14ac:dyDescent="0.55000000000000004">
      <c r="B1" s="7" t="s">
        <v>176</v>
      </c>
    </row>
    <row r="2" spans="2:8" x14ac:dyDescent="0.45">
      <c r="B2" s="8" t="s">
        <v>177</v>
      </c>
    </row>
    <row r="4" spans="2:8" x14ac:dyDescent="0.45">
      <c r="B4" s="9" t="s">
        <v>178</v>
      </c>
      <c r="C4" s="9" t="s">
        <v>179</v>
      </c>
      <c r="D4" s="9" t="s">
        <v>15</v>
      </c>
      <c r="E4" s="9" t="s">
        <v>180</v>
      </c>
      <c r="F4" s="9" t="s">
        <v>181</v>
      </c>
      <c r="G4" s="9" t="s">
        <v>182</v>
      </c>
      <c r="H4" s="9" t="s">
        <v>183</v>
      </c>
    </row>
    <row r="5" spans="2:8" x14ac:dyDescent="0.45">
      <c r="B5" t="s">
        <v>184</v>
      </c>
      <c r="C5" s="16">
        <f>(1+Sources!$G$32/100)^(20/12)</f>
        <v>1.0487990644210003</v>
      </c>
      <c r="D5" s="15" t="s">
        <v>185</v>
      </c>
      <c r="E5" s="17">
        <f>$C$5</f>
        <v>1.0487990644210003</v>
      </c>
      <c r="F5" t="s">
        <v>186</v>
      </c>
      <c r="G5" s="18" t="s">
        <v>187</v>
      </c>
      <c r="H5" t="s">
        <v>100</v>
      </c>
    </row>
    <row r="6" spans="2:8" x14ac:dyDescent="0.45">
      <c r="B6" t="s">
        <v>188</v>
      </c>
      <c r="C6" s="12">
        <f>Sources!$G$32/100</f>
        <v>2.8999999999999998E-2</v>
      </c>
      <c r="D6" s="15" t="s">
        <v>189</v>
      </c>
      <c r="E6" s="14">
        <f>$C$6</f>
        <v>2.8999999999999998E-2</v>
      </c>
      <c r="F6" t="s">
        <v>186</v>
      </c>
      <c r="G6" s="18" t="s">
        <v>190</v>
      </c>
      <c r="H6" t="s">
        <v>100</v>
      </c>
    </row>
    <row r="7" spans="2:8" x14ac:dyDescent="0.45">
      <c r="B7" t="s">
        <v>191</v>
      </c>
      <c r="C7" s="19">
        <v>4</v>
      </c>
      <c r="D7" s="15" t="s">
        <v>192</v>
      </c>
      <c r="E7" s="20">
        <f>$C$7</f>
        <v>4</v>
      </c>
      <c r="F7" t="s">
        <v>193</v>
      </c>
      <c r="G7" s="18" t="s">
        <v>194</v>
      </c>
    </row>
    <row r="8" spans="2:8" x14ac:dyDescent="0.45">
      <c r="B8" t="s">
        <v>195</v>
      </c>
      <c r="C8" s="12">
        <f>(Sources!$G$24+Sources!$G$25+Sources!$G$26)/(Sources!$G$21+Sources!$G$22+Sources!$G$23)</f>
        <v>0.24707797011392216</v>
      </c>
      <c r="D8" s="15" t="s">
        <v>196</v>
      </c>
      <c r="E8" s="14">
        <f>IF(TornPick=2,IF(TornSide&lt;0,Sensitivity!$E$12,Sensitivity!$F$12),$C$8)</f>
        <v>0.24707797011392216</v>
      </c>
      <c r="F8" t="s">
        <v>186</v>
      </c>
      <c r="G8" s="18" t="s">
        <v>197</v>
      </c>
      <c r="H8" t="s">
        <v>198</v>
      </c>
    </row>
    <row r="9" spans="2:8" x14ac:dyDescent="0.45">
      <c r="B9" t="s">
        <v>199</v>
      </c>
      <c r="C9" s="21">
        <v>0.2</v>
      </c>
      <c r="D9" s="15" t="s">
        <v>196</v>
      </c>
      <c r="E9" s="14">
        <f>IF(TornPick=3,IF(TornSide&lt;0,Sensitivity!$E$13,Sensitivity!$F$13),$C$9)</f>
        <v>0.2</v>
      </c>
      <c r="F9" t="s">
        <v>193</v>
      </c>
      <c r="G9" s="18" t="s">
        <v>200</v>
      </c>
    </row>
    <row r="10" spans="2:8" x14ac:dyDescent="0.45">
      <c r="B10" t="s">
        <v>201</v>
      </c>
      <c r="C10" s="22">
        <v>1</v>
      </c>
      <c r="D10" s="15" t="s">
        <v>185</v>
      </c>
      <c r="E10" s="17">
        <f>IF(TornPick=1,IF(TornSide&lt;0,Sensitivity!$E$11,Sensitivity!$F$11),$C$10+Sens_payMult)</f>
        <v>1</v>
      </c>
      <c r="F10" t="s">
        <v>193</v>
      </c>
      <c r="G10" s="18" t="s">
        <v>202</v>
      </c>
    </row>
    <row r="11" spans="2:8" x14ac:dyDescent="0.45">
      <c r="B11" t="s">
        <v>203</v>
      </c>
      <c r="C11" s="23">
        <v>3000</v>
      </c>
      <c r="D11" s="15" t="s">
        <v>204</v>
      </c>
      <c r="E11" s="13">
        <f>$C$11</f>
        <v>3000</v>
      </c>
      <c r="F11" t="s">
        <v>193</v>
      </c>
      <c r="G11" s="18" t="s">
        <v>205</v>
      </c>
    </row>
    <row r="12" spans="2:8" x14ac:dyDescent="0.45">
      <c r="B12" t="s">
        <v>206</v>
      </c>
      <c r="C12" s="23">
        <v>400</v>
      </c>
      <c r="D12" s="15" t="s">
        <v>207</v>
      </c>
      <c r="E12" s="13">
        <f>$C$12</f>
        <v>400</v>
      </c>
      <c r="F12" t="s">
        <v>193</v>
      </c>
      <c r="G12" s="18" t="s">
        <v>208</v>
      </c>
    </row>
    <row r="13" spans="2:8" x14ac:dyDescent="0.45">
      <c r="B13" t="s">
        <v>209</v>
      </c>
      <c r="C13" s="23">
        <v>15000</v>
      </c>
      <c r="D13" s="15" t="s">
        <v>204</v>
      </c>
      <c r="E13" s="13">
        <f>$C$13</f>
        <v>15000</v>
      </c>
      <c r="F13" t="s">
        <v>193</v>
      </c>
      <c r="G13" s="18" t="s">
        <v>210</v>
      </c>
    </row>
    <row r="14" spans="2:8" x14ac:dyDescent="0.45">
      <c r="B14" t="s">
        <v>211</v>
      </c>
      <c r="C14" s="23">
        <v>185000</v>
      </c>
      <c r="D14" s="15" t="s">
        <v>212</v>
      </c>
      <c r="E14" s="13">
        <f>$C$14</f>
        <v>185000</v>
      </c>
      <c r="F14" t="s">
        <v>193</v>
      </c>
      <c r="G14" s="18" t="s">
        <v>213</v>
      </c>
    </row>
    <row r="15" spans="2:8" x14ac:dyDescent="0.45">
      <c r="B15" t="s">
        <v>214</v>
      </c>
      <c r="C15" s="23">
        <v>250</v>
      </c>
      <c r="D15" s="15" t="s">
        <v>207</v>
      </c>
      <c r="E15" s="13">
        <f>$C$15</f>
        <v>250</v>
      </c>
      <c r="F15" t="s">
        <v>193</v>
      </c>
      <c r="G15" s="18" t="s">
        <v>215</v>
      </c>
    </row>
    <row r="16" spans="2:8" x14ac:dyDescent="0.45">
      <c r="B16" t="s">
        <v>216</v>
      </c>
      <c r="C16" s="23">
        <v>1200</v>
      </c>
      <c r="D16" s="15" t="s">
        <v>207</v>
      </c>
      <c r="E16" s="13">
        <f>$C$16</f>
        <v>1200</v>
      </c>
      <c r="F16" t="s">
        <v>193</v>
      </c>
      <c r="G16" s="18" t="s">
        <v>217</v>
      </c>
    </row>
    <row r="17" spans="2:8" x14ac:dyDescent="0.45">
      <c r="B17" t="s">
        <v>218</v>
      </c>
      <c r="C17" s="23">
        <v>500</v>
      </c>
      <c r="D17" s="15" t="s">
        <v>207</v>
      </c>
      <c r="E17" s="13">
        <f>$C$17</f>
        <v>500</v>
      </c>
      <c r="F17" t="s">
        <v>193</v>
      </c>
      <c r="G17" s="18" t="s">
        <v>219</v>
      </c>
    </row>
    <row r="18" spans="2:8" x14ac:dyDescent="0.45">
      <c r="B18" t="s">
        <v>220</v>
      </c>
      <c r="C18" s="23">
        <v>250</v>
      </c>
      <c r="D18" s="15" t="s">
        <v>207</v>
      </c>
      <c r="E18" s="13">
        <f>$C$18</f>
        <v>250</v>
      </c>
      <c r="F18" t="s">
        <v>193</v>
      </c>
      <c r="G18" s="18" t="s">
        <v>221</v>
      </c>
    </row>
    <row r="19" spans="2:8" x14ac:dyDescent="0.45">
      <c r="B19" t="s">
        <v>222</v>
      </c>
      <c r="C19" s="23">
        <v>250</v>
      </c>
      <c r="D19" s="15" t="s">
        <v>207</v>
      </c>
      <c r="E19" s="13">
        <f>$C$19</f>
        <v>250</v>
      </c>
      <c r="F19" t="s">
        <v>193</v>
      </c>
      <c r="G19" s="18" t="s">
        <v>223</v>
      </c>
    </row>
    <row r="20" spans="2:8" x14ac:dyDescent="0.45">
      <c r="B20" t="s">
        <v>224</v>
      </c>
      <c r="C20" s="23">
        <v>700000</v>
      </c>
      <c r="D20" s="15" t="s">
        <v>212</v>
      </c>
      <c r="E20" s="13">
        <f>$C$20</f>
        <v>700000</v>
      </c>
      <c r="F20" t="s">
        <v>193</v>
      </c>
      <c r="G20" s="18" t="s">
        <v>225</v>
      </c>
    </row>
    <row r="21" spans="2:8" x14ac:dyDescent="0.45">
      <c r="B21" t="s">
        <v>226</v>
      </c>
      <c r="C21" s="22">
        <v>1</v>
      </c>
      <c r="D21" s="15" t="s">
        <v>185</v>
      </c>
      <c r="E21" s="17">
        <f>IF(TornPick=5,IF(TornSide&lt;0,Sensitivity!$E$15,Sensitivity!$F$15),$C$21)</f>
        <v>1</v>
      </c>
      <c r="F21" t="s">
        <v>193</v>
      </c>
      <c r="G21" s="18" t="s">
        <v>227</v>
      </c>
    </row>
    <row r="22" spans="2:8" x14ac:dyDescent="0.45">
      <c r="B22" t="s">
        <v>228</v>
      </c>
      <c r="C22" s="23">
        <v>250000</v>
      </c>
      <c r="D22" s="15" t="s">
        <v>212</v>
      </c>
      <c r="E22" s="13">
        <f>$C$22</f>
        <v>250000</v>
      </c>
      <c r="F22" t="s">
        <v>193</v>
      </c>
      <c r="G22" s="18" t="s">
        <v>229</v>
      </c>
    </row>
    <row r="23" spans="2:8" x14ac:dyDescent="0.45">
      <c r="B23" t="s">
        <v>230</v>
      </c>
      <c r="C23" s="21">
        <v>0.11</v>
      </c>
      <c r="D23" s="15" t="s">
        <v>231</v>
      </c>
      <c r="E23" s="14">
        <f>IF(TornPick=4,IF(TornSide&lt;0,Sensitivity!$E$14,Sensitivity!$F$14),$C$23)</f>
        <v>0.11</v>
      </c>
      <c r="F23" t="s">
        <v>193</v>
      </c>
      <c r="G23" s="18" t="s">
        <v>232</v>
      </c>
    </row>
    <row r="24" spans="2:8" x14ac:dyDescent="0.45">
      <c r="B24" t="s">
        <v>233</v>
      </c>
      <c r="C24" s="21">
        <v>0.1</v>
      </c>
      <c r="D24" s="15" t="s">
        <v>234</v>
      </c>
      <c r="E24" s="14">
        <f>$C$24</f>
        <v>0.1</v>
      </c>
      <c r="F24" t="s">
        <v>193</v>
      </c>
      <c r="G24" s="18" t="s">
        <v>235</v>
      </c>
    </row>
    <row r="25" spans="2:8" x14ac:dyDescent="0.45">
      <c r="B25" t="s">
        <v>236</v>
      </c>
      <c r="C25" s="23">
        <v>98000000</v>
      </c>
      <c r="D25" s="15" t="s">
        <v>237</v>
      </c>
      <c r="E25" s="13">
        <f>$C$25</f>
        <v>98000000</v>
      </c>
      <c r="F25" t="s">
        <v>193</v>
      </c>
      <c r="G25" s="18" t="s">
        <v>238</v>
      </c>
      <c r="H25" t="s">
        <v>239</v>
      </c>
    </row>
    <row r="26" spans="2:8" x14ac:dyDescent="0.45">
      <c r="B26" t="s">
        <v>240</v>
      </c>
      <c r="C26" s="23">
        <v>800000</v>
      </c>
      <c r="D26" s="15" t="s">
        <v>241</v>
      </c>
      <c r="E26" s="13">
        <f>IF(TornPick=7,IF(TornSide&lt;0,Sensitivity!$E$17,Sensitivity!$F$17),$C$26)</f>
        <v>800000</v>
      </c>
      <c r="F26" t="s">
        <v>193</v>
      </c>
      <c r="G26" s="18" t="s">
        <v>242</v>
      </c>
    </row>
    <row r="27" spans="2:8" x14ac:dyDescent="0.45">
      <c r="B27" t="s">
        <v>243</v>
      </c>
      <c r="C27" s="21">
        <v>0.7</v>
      </c>
      <c r="D27" s="15" t="s">
        <v>244</v>
      </c>
      <c r="E27" s="14">
        <f>IF(TornPick=6,IF(TornSide&lt;0,Sensitivity!$E$16,Sensitivity!$F$16),$C$27+Sens_attainment)</f>
        <v>0.7</v>
      </c>
      <c r="F27" t="s">
        <v>193</v>
      </c>
      <c r="G27" s="18" t="s">
        <v>245</v>
      </c>
    </row>
    <row r="28" spans="2:8" x14ac:dyDescent="0.45">
      <c r="B28" t="s">
        <v>246</v>
      </c>
      <c r="C28" s="19">
        <v>6</v>
      </c>
      <c r="D28" s="15" t="s">
        <v>247</v>
      </c>
      <c r="E28" s="20">
        <f>IF(TornPick=13,IF(TornSide&lt;0,Sensitivity!$E$23,Sensitivity!$F$23),$C$28)</f>
        <v>6</v>
      </c>
      <c r="F28" t="s">
        <v>193</v>
      </c>
      <c r="G28" s="18" t="s">
        <v>248</v>
      </c>
    </row>
    <row r="29" spans="2:8" x14ac:dyDescent="0.45">
      <c r="B29" t="s">
        <v>249</v>
      </c>
      <c r="C29" s="21">
        <v>0.09</v>
      </c>
      <c r="D29" s="15" t="s">
        <v>250</v>
      </c>
      <c r="E29" s="14">
        <f>IF(TornPick=9,IF(TornSide&lt;0,Sensitivity!$E$19,Sensitivity!$F$19),$C$29)</f>
        <v>0.09</v>
      </c>
      <c r="F29" t="s">
        <v>193</v>
      </c>
      <c r="G29" s="18" t="s">
        <v>251</v>
      </c>
    </row>
    <row r="30" spans="2:8" x14ac:dyDescent="0.45">
      <c r="B30" t="s">
        <v>252</v>
      </c>
      <c r="C30" s="21">
        <v>0.12</v>
      </c>
      <c r="D30" s="15" t="s">
        <v>250</v>
      </c>
      <c r="E30" s="14">
        <f>IF(TornPick=8,IF(TornSide&lt;0,Sensitivity!$E$18,Sensitivity!$F$18),$C$30+Sens_expansion)</f>
        <v>0.12</v>
      </c>
      <c r="F30" t="s">
        <v>193</v>
      </c>
      <c r="G30" s="18" t="s">
        <v>253</v>
      </c>
    </row>
    <row r="31" spans="2:8" x14ac:dyDescent="0.45">
      <c r="B31" t="s">
        <v>254</v>
      </c>
      <c r="C31" s="19">
        <v>40</v>
      </c>
      <c r="D31" s="15" t="s">
        <v>255</v>
      </c>
      <c r="E31" s="20">
        <f>$C$31</f>
        <v>40</v>
      </c>
      <c r="F31" t="s">
        <v>193</v>
      </c>
      <c r="G31" s="18" t="s">
        <v>256</v>
      </c>
    </row>
    <row r="32" spans="2:8" x14ac:dyDescent="0.45">
      <c r="B32" t="s">
        <v>257</v>
      </c>
      <c r="C32" s="23">
        <v>150000</v>
      </c>
      <c r="D32" s="15" t="s">
        <v>258</v>
      </c>
      <c r="E32" s="13">
        <f>IF(TornPick=14,IF(TornSide&lt;0,Sensitivity!$E$24,Sensitivity!$F$24),$C$32)</f>
        <v>150000</v>
      </c>
      <c r="F32" t="s">
        <v>193</v>
      </c>
      <c r="G32" s="18" t="s">
        <v>259</v>
      </c>
    </row>
    <row r="33" spans="2:24" x14ac:dyDescent="0.45">
      <c r="B33" t="s">
        <v>260</v>
      </c>
      <c r="C33" s="21">
        <v>0.14000000000000001</v>
      </c>
      <c r="D33" s="15" t="s">
        <v>261</v>
      </c>
      <c r="E33" s="14">
        <f>IF(TornPick=10,IF(TornSide&lt;0,Sensitivity!$E$20,Sensitivity!$F$20),$C$33)</f>
        <v>0.14000000000000001</v>
      </c>
      <c r="F33" t="s">
        <v>193</v>
      </c>
      <c r="G33" s="18" t="s">
        <v>262</v>
      </c>
    </row>
    <row r="34" spans="2:24" x14ac:dyDescent="0.45">
      <c r="B34" t="s">
        <v>263</v>
      </c>
      <c r="C34" s="19">
        <v>3</v>
      </c>
      <c r="D34" s="15" t="s">
        <v>247</v>
      </c>
      <c r="E34" s="20">
        <f>IF(TornPick=11,IF(TornSide&lt;0,Sensitivity!$E$21,Sensitivity!$F$21),$C$34)</f>
        <v>3</v>
      </c>
      <c r="F34" t="s">
        <v>193</v>
      </c>
      <c r="G34" s="18" t="s">
        <v>264</v>
      </c>
    </row>
    <row r="35" spans="2:24" x14ac:dyDescent="0.45">
      <c r="B35" t="s">
        <v>265</v>
      </c>
      <c r="C35" s="19">
        <v>0</v>
      </c>
      <c r="D35" s="15" t="s">
        <v>247</v>
      </c>
      <c r="E35" s="20">
        <f>IF(TornPick=12,IF(TornSide&lt;0,Sensitivity!$E$22,Sensitivity!$F$22),IF(CaseSel=4,Tradeoffs!$C$13,$C$35))</f>
        <v>0</v>
      </c>
      <c r="F35" t="s">
        <v>193</v>
      </c>
      <c r="G35" s="18" t="s">
        <v>266</v>
      </c>
    </row>
    <row r="36" spans="2:24" x14ac:dyDescent="0.45">
      <c r="B36" t="s">
        <v>267</v>
      </c>
      <c r="C36" s="24">
        <v>0</v>
      </c>
      <c r="D36" s="15" t="s">
        <v>268</v>
      </c>
      <c r="E36" s="25">
        <f>IF(CaseSel=3,Tradeoffs!$C$10,IF(CaseSel=1,Tradeoffs!$C$7,$C$36))</f>
        <v>0</v>
      </c>
      <c r="F36" t="s">
        <v>193</v>
      </c>
      <c r="G36" s="18" t="s">
        <v>269</v>
      </c>
    </row>
    <row r="37" spans="2:24" x14ac:dyDescent="0.45">
      <c r="B37" t="s">
        <v>270</v>
      </c>
      <c r="C37" s="19">
        <v>0</v>
      </c>
      <c r="D37" s="15" t="s">
        <v>247</v>
      </c>
      <c r="E37" s="20">
        <f>IF(CaseSel=3,Tradeoffs!$C$11,IF(CaseSel=1,Tradeoffs!$C$8,$C$37))</f>
        <v>0</v>
      </c>
      <c r="F37" t="s">
        <v>193</v>
      </c>
      <c r="G37" s="18" t="s">
        <v>271</v>
      </c>
    </row>
    <row r="38" spans="2:24" x14ac:dyDescent="0.45">
      <c r="B38" t="s">
        <v>272</v>
      </c>
      <c r="C38" s="19">
        <v>0</v>
      </c>
      <c r="D38" s="15" t="s">
        <v>247</v>
      </c>
      <c r="E38" s="20">
        <f>IF(CaseSel=3,Tradeoffs!$C$12,IF(CaseSel=2,Tradeoffs!$C$9,$C$38))</f>
        <v>0</v>
      </c>
      <c r="F38" t="s">
        <v>193</v>
      </c>
      <c r="G38" s="18" t="s">
        <v>273</v>
      </c>
    </row>
    <row r="40" spans="2:24" x14ac:dyDescent="0.45">
      <c r="B40" s="4" t="s">
        <v>274</v>
      </c>
    </row>
    <row r="41" spans="2:24" x14ac:dyDescent="0.45">
      <c r="B41" t="s">
        <v>275</v>
      </c>
      <c r="E41" s="26">
        <f>x_attrition/12</f>
        <v>1.1666666666666667E-2</v>
      </c>
    </row>
    <row r="42" spans="2:24" x14ac:dyDescent="0.45">
      <c r="B42" t="s">
        <v>276</v>
      </c>
      <c r="E42" s="27">
        <f>ROUND(x_backfillLag,0)</f>
        <v>3</v>
      </c>
    </row>
    <row r="45" spans="2:24" x14ac:dyDescent="0.45">
      <c r="B45" s="4" t="s">
        <v>277</v>
      </c>
    </row>
    <row r="46" spans="2:24" x14ac:dyDescent="0.45">
      <c r="B46" s="28" t="s">
        <v>278</v>
      </c>
    </row>
    <row r="47" spans="2:24" x14ac:dyDescent="0.45">
      <c r="B47" s="9" t="s">
        <v>279</v>
      </c>
      <c r="C47" s="9" t="s">
        <v>280</v>
      </c>
      <c r="D47" s="9" t="s">
        <v>281</v>
      </c>
      <c r="E47" s="9" t="s">
        <v>282</v>
      </c>
      <c r="F47" s="9" t="s">
        <v>283</v>
      </c>
      <c r="G47" s="9" t="s">
        <v>284</v>
      </c>
      <c r="H47" s="9" t="s">
        <v>285</v>
      </c>
      <c r="I47" s="9" t="s">
        <v>286</v>
      </c>
      <c r="J47" s="9" t="s">
        <v>287</v>
      </c>
      <c r="K47" s="9" t="s">
        <v>288</v>
      </c>
      <c r="L47" s="9" t="s">
        <v>289</v>
      </c>
      <c r="M47" s="9" t="s">
        <v>290</v>
      </c>
      <c r="N47" s="9" t="s">
        <v>291</v>
      </c>
      <c r="O47" s="9" t="s">
        <v>292</v>
      </c>
      <c r="P47" s="9" t="s">
        <v>293</v>
      </c>
      <c r="Q47" s="9" t="s">
        <v>294</v>
      </c>
      <c r="R47" s="9" t="s">
        <v>295</v>
      </c>
      <c r="S47" s="9" t="s">
        <v>296</v>
      </c>
      <c r="T47" s="9" t="s">
        <v>297</v>
      </c>
      <c r="U47" s="9" t="s">
        <v>298</v>
      </c>
      <c r="V47" s="9" t="s">
        <v>299</v>
      </c>
      <c r="W47" s="9" t="s">
        <v>300</v>
      </c>
      <c r="X47" s="9" t="s">
        <v>301</v>
      </c>
    </row>
    <row r="48" spans="2:24" x14ac:dyDescent="0.45">
      <c r="B48" t="s">
        <v>302</v>
      </c>
      <c r="C48" t="s">
        <v>303</v>
      </c>
      <c r="D48">
        <v>1</v>
      </c>
      <c r="E48" t="s">
        <v>304</v>
      </c>
      <c r="F48" t="s">
        <v>305</v>
      </c>
      <c r="G48" t="s">
        <v>306</v>
      </c>
      <c r="H48" t="s">
        <v>17</v>
      </c>
      <c r="I48" s="11">
        <f>Sources!$G$5</f>
        <v>186640</v>
      </c>
      <c r="J48" s="11">
        <f t="shared" ref="J48:J62" si="0">I48*x_escalation*x_payMult</f>
        <v>195747.85738353551</v>
      </c>
      <c r="K48" s="29">
        <v>46</v>
      </c>
      <c r="L48" s="29">
        <v>2</v>
      </c>
      <c r="M48" s="29">
        <v>2</v>
      </c>
      <c r="N48" s="29">
        <v>2</v>
      </c>
      <c r="O48" s="29">
        <v>1</v>
      </c>
      <c r="P48" s="29">
        <v>1</v>
      </c>
      <c r="Q48" s="29">
        <v>1</v>
      </c>
      <c r="R48" s="29">
        <v>1</v>
      </c>
      <c r="S48" s="29">
        <v>1</v>
      </c>
      <c r="T48" s="29">
        <v>1</v>
      </c>
      <c r="U48" s="29">
        <v>1</v>
      </c>
      <c r="V48" s="29">
        <v>1</v>
      </c>
      <c r="W48" s="29">
        <v>0</v>
      </c>
      <c r="X48" s="4">
        <f t="shared" ref="X48:X62" si="1">SUM(L48:W48)</f>
        <v>14</v>
      </c>
    </row>
    <row r="49" spans="2:24" x14ac:dyDescent="0.45">
      <c r="B49" t="s">
        <v>307</v>
      </c>
      <c r="C49" t="s">
        <v>303</v>
      </c>
      <c r="D49">
        <v>2</v>
      </c>
      <c r="E49" t="s">
        <v>308</v>
      </c>
      <c r="F49" t="s">
        <v>305</v>
      </c>
      <c r="G49" t="s">
        <v>309</v>
      </c>
      <c r="H49" t="s">
        <v>24</v>
      </c>
      <c r="I49" s="11">
        <f>Sources!$G$6</f>
        <v>219670</v>
      </c>
      <c r="J49" s="11">
        <f t="shared" si="0"/>
        <v>230389.69048136115</v>
      </c>
      <c r="K49" s="29">
        <v>33</v>
      </c>
      <c r="L49" s="29">
        <v>1</v>
      </c>
      <c r="M49" s="29">
        <v>1</v>
      </c>
      <c r="N49" s="29">
        <v>1</v>
      </c>
      <c r="O49" s="29">
        <v>1</v>
      </c>
      <c r="P49" s="29">
        <v>1</v>
      </c>
      <c r="Q49" s="29">
        <v>1</v>
      </c>
      <c r="R49" s="29">
        <v>1</v>
      </c>
      <c r="S49" s="29">
        <v>1</v>
      </c>
      <c r="T49" s="29">
        <v>0</v>
      </c>
      <c r="U49" s="29">
        <v>0</v>
      </c>
      <c r="V49" s="29">
        <v>0</v>
      </c>
      <c r="W49" s="29">
        <v>0</v>
      </c>
      <c r="X49" s="4">
        <f t="shared" si="1"/>
        <v>8</v>
      </c>
    </row>
    <row r="50" spans="2:24" x14ac:dyDescent="0.45">
      <c r="B50" t="s">
        <v>310</v>
      </c>
      <c r="C50" t="s">
        <v>303</v>
      </c>
      <c r="D50">
        <v>3</v>
      </c>
      <c r="E50" t="s">
        <v>311</v>
      </c>
      <c r="F50" t="s">
        <v>312</v>
      </c>
      <c r="G50" t="s">
        <v>306</v>
      </c>
      <c r="H50" t="s">
        <v>27</v>
      </c>
      <c r="I50" s="11">
        <f>Sources!$G$7</f>
        <v>232890</v>
      </c>
      <c r="J50" s="11">
        <f t="shared" si="0"/>
        <v>244254.81411300678</v>
      </c>
      <c r="K50" s="29">
        <v>11</v>
      </c>
      <c r="L50" s="29">
        <v>0</v>
      </c>
      <c r="M50" s="29">
        <v>1</v>
      </c>
      <c r="N50" s="29">
        <v>0</v>
      </c>
      <c r="O50" s="29">
        <v>0</v>
      </c>
      <c r="P50" s="29">
        <v>0</v>
      </c>
      <c r="Q50" s="29">
        <v>0</v>
      </c>
      <c r="R50" s="29">
        <v>1</v>
      </c>
      <c r="S50" s="29">
        <v>0</v>
      </c>
      <c r="T50" s="29">
        <v>0</v>
      </c>
      <c r="U50" s="29">
        <v>0</v>
      </c>
      <c r="V50" s="29">
        <v>0</v>
      </c>
      <c r="W50" s="29">
        <v>0</v>
      </c>
      <c r="X50" s="4">
        <f t="shared" si="1"/>
        <v>2</v>
      </c>
    </row>
    <row r="51" spans="2:24" x14ac:dyDescent="0.45">
      <c r="B51" t="s">
        <v>313</v>
      </c>
      <c r="C51" t="s">
        <v>314</v>
      </c>
      <c r="D51">
        <v>1</v>
      </c>
      <c r="E51" t="s">
        <v>315</v>
      </c>
      <c r="F51" t="s">
        <v>316</v>
      </c>
      <c r="G51" t="s">
        <v>306</v>
      </c>
      <c r="H51" t="s">
        <v>30</v>
      </c>
      <c r="I51" s="11">
        <f>Sources!$G$8</f>
        <v>96960</v>
      </c>
      <c r="J51" s="11">
        <f t="shared" si="0"/>
        <v>101691.5572862602</v>
      </c>
      <c r="K51" s="29">
        <v>20</v>
      </c>
      <c r="L51" s="29">
        <v>1</v>
      </c>
      <c r="M51" s="29">
        <v>0</v>
      </c>
      <c r="N51" s="29">
        <v>0</v>
      </c>
      <c r="O51" s="29">
        <v>1</v>
      </c>
      <c r="P51" s="29">
        <v>0</v>
      </c>
      <c r="Q51" s="29">
        <v>0</v>
      </c>
      <c r="R51" s="29">
        <v>1</v>
      </c>
      <c r="S51" s="29">
        <v>0</v>
      </c>
      <c r="T51" s="29">
        <v>0</v>
      </c>
      <c r="U51" s="29">
        <v>1</v>
      </c>
      <c r="V51" s="29">
        <v>0</v>
      </c>
      <c r="W51" s="29">
        <v>0</v>
      </c>
      <c r="X51" s="4">
        <f t="shared" si="1"/>
        <v>4</v>
      </c>
    </row>
    <row r="52" spans="2:24" x14ac:dyDescent="0.45">
      <c r="B52" t="s">
        <v>317</v>
      </c>
      <c r="C52" t="s">
        <v>314</v>
      </c>
      <c r="D52">
        <v>2</v>
      </c>
      <c r="E52" t="s">
        <v>318</v>
      </c>
      <c r="F52" t="s">
        <v>319</v>
      </c>
      <c r="G52" t="s">
        <v>309</v>
      </c>
      <c r="H52" t="s">
        <v>36</v>
      </c>
      <c r="I52" s="11">
        <f>Sources!$G$10</f>
        <v>171570</v>
      </c>
      <c r="J52" s="11">
        <f t="shared" si="0"/>
        <v>179942.45548271103</v>
      </c>
      <c r="K52" s="29">
        <v>42</v>
      </c>
      <c r="L52" s="29">
        <v>2</v>
      </c>
      <c r="M52" s="29">
        <v>1</v>
      </c>
      <c r="N52" s="29">
        <v>1</v>
      </c>
      <c r="O52" s="29">
        <v>2</v>
      </c>
      <c r="P52" s="29">
        <v>1</v>
      </c>
      <c r="Q52" s="29">
        <v>1</v>
      </c>
      <c r="R52" s="29">
        <v>1</v>
      </c>
      <c r="S52" s="29">
        <v>1</v>
      </c>
      <c r="T52" s="29">
        <v>1</v>
      </c>
      <c r="U52" s="29">
        <v>1</v>
      </c>
      <c r="V52" s="29">
        <v>0</v>
      </c>
      <c r="W52" s="29">
        <v>0</v>
      </c>
      <c r="X52" s="4">
        <f t="shared" si="1"/>
        <v>12</v>
      </c>
    </row>
    <row r="53" spans="2:24" x14ac:dyDescent="0.45">
      <c r="B53" t="s">
        <v>320</v>
      </c>
      <c r="C53" t="s">
        <v>314</v>
      </c>
      <c r="D53">
        <v>3</v>
      </c>
      <c r="E53" t="s">
        <v>321</v>
      </c>
      <c r="F53" t="s">
        <v>322</v>
      </c>
      <c r="G53" t="s">
        <v>306</v>
      </c>
      <c r="H53" t="s">
        <v>39</v>
      </c>
      <c r="I53" s="11">
        <f>Sources!$G$11</f>
        <v>170810</v>
      </c>
      <c r="J53" s="11">
        <f t="shared" si="0"/>
        <v>179145.36819375106</v>
      </c>
      <c r="K53" s="29">
        <v>7</v>
      </c>
      <c r="L53" s="29">
        <v>0</v>
      </c>
      <c r="M53" s="29">
        <v>0</v>
      </c>
      <c r="N53" s="29">
        <v>1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1</v>
      </c>
      <c r="U53" s="29">
        <v>0</v>
      </c>
      <c r="V53" s="29">
        <v>0</v>
      </c>
      <c r="W53" s="29">
        <v>0</v>
      </c>
      <c r="X53" s="4">
        <f t="shared" si="1"/>
        <v>2</v>
      </c>
    </row>
    <row r="54" spans="2:24" x14ac:dyDescent="0.45">
      <c r="B54" t="s">
        <v>323</v>
      </c>
      <c r="C54" t="s">
        <v>324</v>
      </c>
      <c r="D54">
        <v>1</v>
      </c>
      <c r="E54" t="s">
        <v>325</v>
      </c>
      <c r="F54" t="s">
        <v>326</v>
      </c>
      <c r="G54" t="s">
        <v>306</v>
      </c>
      <c r="H54" t="s">
        <v>42</v>
      </c>
      <c r="I54" s="11">
        <f>Sources!$G$12</f>
        <v>123250</v>
      </c>
      <c r="J54" s="11">
        <f t="shared" si="0"/>
        <v>129264.4846898883</v>
      </c>
      <c r="K54" s="29">
        <v>15</v>
      </c>
      <c r="L54" s="29">
        <v>1</v>
      </c>
      <c r="M54" s="29">
        <v>0</v>
      </c>
      <c r="N54" s="29">
        <v>0</v>
      </c>
      <c r="O54" s="29">
        <v>1</v>
      </c>
      <c r="P54" s="29">
        <v>0</v>
      </c>
      <c r="Q54" s="29">
        <v>0</v>
      </c>
      <c r="R54" s="29">
        <v>1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4">
        <f t="shared" si="1"/>
        <v>3</v>
      </c>
    </row>
    <row r="55" spans="2:24" x14ac:dyDescent="0.45">
      <c r="B55" t="s">
        <v>327</v>
      </c>
      <c r="C55" t="s">
        <v>324</v>
      </c>
      <c r="D55">
        <v>2</v>
      </c>
      <c r="E55" t="s">
        <v>328</v>
      </c>
      <c r="F55" t="s">
        <v>326</v>
      </c>
      <c r="G55" t="s">
        <v>309</v>
      </c>
      <c r="H55" t="s">
        <v>45</v>
      </c>
      <c r="I55" s="11">
        <f>Sources!$G$13</f>
        <v>170560</v>
      </c>
      <c r="J55" s="11">
        <f t="shared" si="0"/>
        <v>178883.16842764581</v>
      </c>
      <c r="K55" s="29">
        <v>10</v>
      </c>
      <c r="L55" s="29">
        <v>0</v>
      </c>
      <c r="M55" s="29">
        <v>1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1</v>
      </c>
      <c r="T55" s="29">
        <v>0</v>
      </c>
      <c r="U55" s="29">
        <v>0</v>
      </c>
      <c r="V55" s="29">
        <v>0</v>
      </c>
      <c r="W55" s="29">
        <v>0</v>
      </c>
      <c r="X55" s="4">
        <f t="shared" si="1"/>
        <v>2</v>
      </c>
    </row>
    <row r="56" spans="2:24" x14ac:dyDescent="0.45">
      <c r="B56" t="s">
        <v>329</v>
      </c>
      <c r="C56" t="s">
        <v>324</v>
      </c>
      <c r="D56">
        <v>3</v>
      </c>
      <c r="E56" t="s">
        <v>330</v>
      </c>
      <c r="F56" t="s">
        <v>331</v>
      </c>
      <c r="G56" t="s">
        <v>306</v>
      </c>
      <c r="H56" t="s">
        <v>48</v>
      </c>
      <c r="I56" s="11">
        <f>Sources!$G$14</f>
        <v>220480</v>
      </c>
      <c r="J56" s="11">
        <f t="shared" si="0"/>
        <v>231239.21772354215</v>
      </c>
      <c r="K56" s="29">
        <v>5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4">
        <f t="shared" si="1"/>
        <v>0</v>
      </c>
    </row>
    <row r="57" spans="2:24" x14ac:dyDescent="0.45">
      <c r="B57" t="s">
        <v>332</v>
      </c>
      <c r="C57" t="s">
        <v>333</v>
      </c>
      <c r="D57">
        <v>1</v>
      </c>
      <c r="E57" t="s">
        <v>334</v>
      </c>
      <c r="F57" t="s">
        <v>335</v>
      </c>
      <c r="G57" t="s">
        <v>306</v>
      </c>
      <c r="H57" t="s">
        <v>51</v>
      </c>
      <c r="I57" s="11">
        <f>Sources!$G$15</f>
        <v>89440</v>
      </c>
      <c r="J57" s="11">
        <f t="shared" si="0"/>
        <v>93804.58832181427</v>
      </c>
      <c r="K57" s="29">
        <v>35</v>
      </c>
      <c r="L57" s="29">
        <v>1</v>
      </c>
      <c r="M57" s="29">
        <v>0</v>
      </c>
      <c r="N57" s="29">
        <v>1</v>
      </c>
      <c r="O57" s="29">
        <v>0</v>
      </c>
      <c r="P57" s="29">
        <v>1</v>
      </c>
      <c r="Q57" s="29">
        <v>0</v>
      </c>
      <c r="R57" s="29">
        <v>1</v>
      </c>
      <c r="S57" s="29">
        <v>0</v>
      </c>
      <c r="T57" s="29">
        <v>1</v>
      </c>
      <c r="U57" s="29">
        <v>0</v>
      </c>
      <c r="V57" s="29">
        <v>0</v>
      </c>
      <c r="W57" s="29">
        <v>0</v>
      </c>
      <c r="X57" s="4">
        <f t="shared" si="1"/>
        <v>5</v>
      </c>
    </row>
    <row r="58" spans="2:24" x14ac:dyDescent="0.45">
      <c r="B58" t="s">
        <v>336</v>
      </c>
      <c r="C58" t="s">
        <v>333</v>
      </c>
      <c r="D58">
        <v>2</v>
      </c>
      <c r="E58" t="s">
        <v>337</v>
      </c>
      <c r="F58" t="s">
        <v>335</v>
      </c>
      <c r="G58" t="s">
        <v>309</v>
      </c>
      <c r="H58" t="s">
        <v>54</v>
      </c>
      <c r="I58" s="11">
        <f>Sources!$G$16</f>
        <v>106900</v>
      </c>
      <c r="J58" s="11">
        <f t="shared" si="0"/>
        <v>112116.61998660494</v>
      </c>
      <c r="K58" s="29">
        <v>18</v>
      </c>
      <c r="L58" s="29">
        <v>0</v>
      </c>
      <c r="M58" s="29">
        <v>1</v>
      </c>
      <c r="N58" s="29">
        <v>0</v>
      </c>
      <c r="O58" s="29">
        <v>0</v>
      </c>
      <c r="P58" s="29">
        <v>0</v>
      </c>
      <c r="Q58" s="29">
        <v>1</v>
      </c>
      <c r="R58" s="29">
        <v>0</v>
      </c>
      <c r="S58" s="29">
        <v>0</v>
      </c>
      <c r="T58" s="29">
        <v>0</v>
      </c>
      <c r="U58" s="29">
        <v>1</v>
      </c>
      <c r="V58" s="29">
        <v>0</v>
      </c>
      <c r="W58" s="29">
        <v>0</v>
      </c>
      <c r="X58" s="4">
        <f t="shared" si="1"/>
        <v>3</v>
      </c>
    </row>
    <row r="59" spans="2:24" x14ac:dyDescent="0.45">
      <c r="B59" t="s">
        <v>338</v>
      </c>
      <c r="C59" t="s">
        <v>333</v>
      </c>
      <c r="D59">
        <v>3</v>
      </c>
      <c r="E59" t="s">
        <v>339</v>
      </c>
      <c r="F59" t="s">
        <v>340</v>
      </c>
      <c r="G59" t="s">
        <v>306</v>
      </c>
      <c r="H59" t="s">
        <v>57</v>
      </c>
      <c r="I59" s="11">
        <f>Sources!$G$17</f>
        <v>210080</v>
      </c>
      <c r="J59" s="11">
        <f t="shared" si="0"/>
        <v>220331.70745356375</v>
      </c>
      <c r="K59" s="29">
        <v>7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4">
        <f t="shared" si="1"/>
        <v>0</v>
      </c>
    </row>
    <row r="60" spans="2:24" x14ac:dyDescent="0.45">
      <c r="B60" t="s">
        <v>341</v>
      </c>
      <c r="C60" t="s">
        <v>342</v>
      </c>
      <c r="D60">
        <v>1</v>
      </c>
      <c r="E60" t="s">
        <v>343</v>
      </c>
      <c r="F60" t="s">
        <v>344</v>
      </c>
      <c r="G60" t="s">
        <v>306</v>
      </c>
      <c r="H60" t="s">
        <v>60</v>
      </c>
      <c r="I60" s="11">
        <f>Sources!$G$18</f>
        <v>110730</v>
      </c>
      <c r="J60" s="11">
        <f t="shared" si="0"/>
        <v>116133.52040333737</v>
      </c>
      <c r="K60" s="29">
        <v>27</v>
      </c>
      <c r="L60" s="29">
        <v>1</v>
      </c>
      <c r="M60" s="29">
        <v>0</v>
      </c>
      <c r="N60" s="29">
        <v>0</v>
      </c>
      <c r="O60" s="29">
        <v>1</v>
      </c>
      <c r="P60" s="29">
        <v>0</v>
      </c>
      <c r="Q60" s="29">
        <v>0</v>
      </c>
      <c r="R60" s="29">
        <v>0</v>
      </c>
      <c r="S60" s="29">
        <v>1</v>
      </c>
      <c r="T60" s="29">
        <v>0</v>
      </c>
      <c r="U60" s="29">
        <v>0</v>
      </c>
      <c r="V60" s="29">
        <v>0</v>
      </c>
      <c r="W60" s="29">
        <v>0</v>
      </c>
      <c r="X60" s="4">
        <f t="shared" si="1"/>
        <v>3</v>
      </c>
    </row>
    <row r="61" spans="2:24" x14ac:dyDescent="0.45">
      <c r="B61" t="s">
        <v>345</v>
      </c>
      <c r="C61" t="s">
        <v>342</v>
      </c>
      <c r="D61">
        <v>2</v>
      </c>
      <c r="E61" t="s">
        <v>346</v>
      </c>
      <c r="F61" t="s">
        <v>344</v>
      </c>
      <c r="G61" t="s">
        <v>309</v>
      </c>
      <c r="H61" t="s">
        <v>63</v>
      </c>
      <c r="I61" s="11">
        <f>Sources!$G$19</f>
        <v>143590</v>
      </c>
      <c r="J61" s="11">
        <f t="shared" si="0"/>
        <v>150597.05766021143</v>
      </c>
      <c r="K61" s="29">
        <v>16</v>
      </c>
      <c r="L61" s="29">
        <v>0</v>
      </c>
      <c r="M61" s="29">
        <v>1</v>
      </c>
      <c r="N61" s="29">
        <v>0</v>
      </c>
      <c r="O61" s="29">
        <v>0</v>
      </c>
      <c r="P61" s="29">
        <v>0</v>
      </c>
      <c r="Q61" s="29">
        <v>0</v>
      </c>
      <c r="R61" s="29">
        <v>1</v>
      </c>
      <c r="S61" s="29">
        <v>0</v>
      </c>
      <c r="T61" s="29">
        <v>0</v>
      </c>
      <c r="U61" s="29">
        <v>0</v>
      </c>
      <c r="V61" s="29">
        <v>0</v>
      </c>
      <c r="W61" s="29">
        <v>0</v>
      </c>
      <c r="X61" s="4">
        <f t="shared" si="1"/>
        <v>2</v>
      </c>
    </row>
    <row r="62" spans="2:24" x14ac:dyDescent="0.45">
      <c r="B62" t="s">
        <v>347</v>
      </c>
      <c r="C62" t="s">
        <v>342</v>
      </c>
      <c r="D62">
        <v>3</v>
      </c>
      <c r="E62" t="s">
        <v>348</v>
      </c>
      <c r="F62" t="s">
        <v>349</v>
      </c>
      <c r="G62" t="s">
        <v>306</v>
      </c>
      <c r="H62" t="s">
        <v>66</v>
      </c>
      <c r="I62" s="11">
        <f>Sources!$G$20</f>
        <v>216150</v>
      </c>
      <c r="J62" s="11">
        <f t="shared" si="0"/>
        <v>226697.91777459922</v>
      </c>
      <c r="K62" s="29">
        <v>8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4">
        <f t="shared" si="1"/>
        <v>0</v>
      </c>
    </row>
    <row r="63" spans="2:24" x14ac:dyDescent="0.45">
      <c r="B63" s="4" t="s">
        <v>301</v>
      </c>
      <c r="K63" s="4">
        <f t="shared" ref="K63:X63" si="2">SUM(K48:K62)</f>
        <v>300</v>
      </c>
      <c r="L63" s="4">
        <f t="shared" si="2"/>
        <v>9</v>
      </c>
      <c r="M63" s="4">
        <f t="shared" si="2"/>
        <v>8</v>
      </c>
      <c r="N63" s="4">
        <f t="shared" si="2"/>
        <v>6</v>
      </c>
      <c r="O63" s="4">
        <f t="shared" si="2"/>
        <v>7</v>
      </c>
      <c r="P63" s="4">
        <f t="shared" si="2"/>
        <v>4</v>
      </c>
      <c r="Q63" s="4">
        <f t="shared" si="2"/>
        <v>4</v>
      </c>
      <c r="R63" s="4">
        <f t="shared" si="2"/>
        <v>8</v>
      </c>
      <c r="S63" s="4">
        <f t="shared" si="2"/>
        <v>5</v>
      </c>
      <c r="T63" s="4">
        <f t="shared" si="2"/>
        <v>4</v>
      </c>
      <c r="U63" s="4">
        <f t="shared" si="2"/>
        <v>4</v>
      </c>
      <c r="V63" s="4">
        <f t="shared" si="2"/>
        <v>1</v>
      </c>
      <c r="W63" s="4">
        <f t="shared" si="2"/>
        <v>0</v>
      </c>
      <c r="X63" s="4">
        <f t="shared" si="2"/>
        <v>60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K34"/>
  <sheetViews>
    <sheetView workbookViewId="0"/>
  </sheetViews>
  <sheetFormatPr defaultRowHeight="14.25" x14ac:dyDescent="0.45"/>
  <cols>
    <col min="1" max="1" width="2" customWidth="1"/>
    <col min="2" max="2" width="58" customWidth="1"/>
    <col min="3" max="3" width="12" customWidth="1"/>
    <col min="4" max="4" width="13" customWidth="1"/>
    <col min="5" max="10" width="12.46484375" customWidth="1"/>
    <col min="11" max="11" width="56" customWidth="1"/>
    <col min="12" max="17" width="12.46484375" customWidth="1"/>
  </cols>
  <sheetData>
    <row r="1" spans="2:3" ht="18" x14ac:dyDescent="0.55000000000000004">
      <c r="B1" s="7" t="s">
        <v>350</v>
      </c>
    </row>
    <row r="2" spans="2:3" x14ac:dyDescent="0.45">
      <c r="B2" s="8" t="s">
        <v>351</v>
      </c>
    </row>
    <row r="4" spans="2:3" x14ac:dyDescent="0.45">
      <c r="B4" t="s">
        <v>352</v>
      </c>
      <c r="C4" s="29">
        <v>0</v>
      </c>
    </row>
    <row r="6" spans="2:3" x14ac:dyDescent="0.45">
      <c r="B6" s="4" t="s">
        <v>353</v>
      </c>
    </row>
    <row r="7" spans="2:3" x14ac:dyDescent="0.45">
      <c r="B7" t="s">
        <v>354</v>
      </c>
      <c r="C7" s="24">
        <v>0.33333333333333331</v>
      </c>
    </row>
    <row r="8" spans="2:3" x14ac:dyDescent="0.45">
      <c r="B8" t="s">
        <v>355</v>
      </c>
      <c r="C8" s="24">
        <v>3</v>
      </c>
    </row>
    <row r="9" spans="2:3" x14ac:dyDescent="0.45">
      <c r="B9" t="s">
        <v>356</v>
      </c>
      <c r="C9" s="24">
        <v>3</v>
      </c>
    </row>
    <row r="10" spans="2:3" x14ac:dyDescent="0.45">
      <c r="B10" t="s">
        <v>357</v>
      </c>
      <c r="C10" s="24">
        <v>0.33333333333333331</v>
      </c>
    </row>
    <row r="11" spans="2:3" x14ac:dyDescent="0.45">
      <c r="B11" t="s">
        <v>358</v>
      </c>
      <c r="C11" s="24">
        <v>3</v>
      </c>
    </row>
    <row r="12" spans="2:3" x14ac:dyDescent="0.45">
      <c r="B12" t="s">
        <v>359</v>
      </c>
      <c r="C12" s="24">
        <v>3</v>
      </c>
    </row>
    <row r="13" spans="2:3" x14ac:dyDescent="0.45">
      <c r="B13" t="s">
        <v>360</v>
      </c>
      <c r="C13" s="24">
        <v>3</v>
      </c>
    </row>
    <row r="20" spans="2:11" x14ac:dyDescent="0.45">
      <c r="B20" s="4" t="s">
        <v>361</v>
      </c>
    </row>
    <row r="21" spans="2:11" ht="42.75" x14ac:dyDescent="0.45">
      <c r="B21" t="s">
        <v>362</v>
      </c>
      <c r="C21" s="30" t="s">
        <v>363</v>
      </c>
      <c r="D21" s="30" t="s">
        <v>364</v>
      </c>
      <c r="E21" s="30" t="s">
        <v>365</v>
      </c>
      <c r="F21" s="30" t="s">
        <v>366</v>
      </c>
      <c r="G21" s="30" t="s">
        <v>367</v>
      </c>
      <c r="H21" s="30" t="s">
        <v>368</v>
      </c>
      <c r="I21" s="30" t="s">
        <v>369</v>
      </c>
      <c r="J21" s="30" t="s">
        <v>123</v>
      </c>
    </row>
    <row r="22" spans="2:11" x14ac:dyDescent="0.45">
      <c r="B22" s="31" t="s">
        <v>370</v>
      </c>
      <c r="C22" s="32">
        <f>out_oi</f>
        <v>-5671479.6413371321</v>
      </c>
      <c r="D22" s="32">
        <f>out_rev</f>
        <v>112056630.85977882</v>
      </c>
      <c r="E22" s="32">
        <f>out_opex+out_cor</f>
        <v>117728110.50111593</v>
      </c>
      <c r="F22" s="32">
        <f>out_newArr</f>
        <v>25458197.563179381</v>
      </c>
      <c r="G22" s="32">
        <f>out_arrExit</f>
        <v>127682792.99772559</v>
      </c>
      <c r="H22" s="33">
        <f>out_hcExit</f>
        <v>358.0298696889696</v>
      </c>
      <c r="I22" s="34">
        <f>Launch</f>
        <v>7</v>
      </c>
      <c r="J22" s="35">
        <f>out_oi/out_rev</f>
        <v>-5.061261968900433E-2</v>
      </c>
    </row>
    <row r="23" spans="2:11" x14ac:dyDescent="0.45">
      <c r="B23" s="27">
        <v>0</v>
      </c>
      <c r="C23" s="11">
        <f t="dataTable" ref="C23:J27" dt2D="0" dtr="0" r1="C4"/>
        <v>-5671479.6413371321</v>
      </c>
      <c r="D23" s="11">
        <v>112056630.85977882</v>
      </c>
      <c r="E23" s="11">
        <v>117728110.50111593</v>
      </c>
      <c r="F23" s="11">
        <v>25458197.563179381</v>
      </c>
      <c r="G23" s="11">
        <v>127682792.99772559</v>
      </c>
      <c r="H23" s="36">
        <v>358.0298696889696</v>
      </c>
      <c r="I23" s="27">
        <v>7</v>
      </c>
      <c r="J23" s="12">
        <v>-5.061261968900433E-2</v>
      </c>
      <c r="K23" t="s">
        <v>371</v>
      </c>
    </row>
    <row r="24" spans="2:11" x14ac:dyDescent="0.45">
      <c r="B24" s="27">
        <v>1</v>
      </c>
      <c r="C24" s="11">
        <v>-5098545.5622538934</v>
      </c>
      <c r="D24" s="11">
        <v>111987489.06094897</v>
      </c>
      <c r="E24" s="11">
        <v>117086034.62320286</v>
      </c>
      <c r="F24" s="11">
        <v>25458197.563179381</v>
      </c>
      <c r="G24" s="11">
        <v>127530908.59925878</v>
      </c>
      <c r="H24" s="36">
        <v>357.41126930507744</v>
      </c>
      <c r="I24" s="27">
        <v>8</v>
      </c>
      <c r="J24" s="12">
        <v>-4.5527813910346895E-2</v>
      </c>
      <c r="K24" t="s">
        <v>372</v>
      </c>
    </row>
    <row r="25" spans="2:11" x14ac:dyDescent="0.45">
      <c r="B25" s="27">
        <v>2</v>
      </c>
      <c r="C25" s="11">
        <v>-5980177.8990211599</v>
      </c>
      <c r="D25" s="11">
        <v>112542242.75203818</v>
      </c>
      <c r="E25" s="11">
        <v>118522420.65105936</v>
      </c>
      <c r="F25" s="11">
        <v>26574613.638891175</v>
      </c>
      <c r="G25" s="11">
        <v>128812365.46462156</v>
      </c>
      <c r="H25" s="36">
        <v>358.02039946949185</v>
      </c>
      <c r="I25" s="27">
        <v>7</v>
      </c>
      <c r="J25" s="12">
        <v>-5.3137184338836685E-2</v>
      </c>
      <c r="K25" t="s">
        <v>373</v>
      </c>
    </row>
    <row r="26" spans="2:11" x14ac:dyDescent="0.45">
      <c r="B26" s="27">
        <v>3</v>
      </c>
      <c r="C26" s="11">
        <v>-5407243.8199379221</v>
      </c>
      <c r="D26" s="11">
        <v>112473100.95320834</v>
      </c>
      <c r="E26" s="11">
        <v>117880344.77314629</v>
      </c>
      <c r="F26" s="11">
        <v>26574613.638891175</v>
      </c>
      <c r="G26" s="11">
        <v>128660481.06615475</v>
      </c>
      <c r="H26" s="36">
        <v>357.40179908559969</v>
      </c>
      <c r="I26" s="27">
        <v>8</v>
      </c>
      <c r="J26" s="12">
        <v>-4.8075884581394022E-2</v>
      </c>
      <c r="K26" t="s">
        <v>374</v>
      </c>
    </row>
    <row r="27" spans="2:11" x14ac:dyDescent="0.45">
      <c r="B27" s="27">
        <v>4</v>
      </c>
      <c r="C27" s="11">
        <v>-2154633.4563618563</v>
      </c>
      <c r="D27" s="11">
        <v>111426858.97245945</v>
      </c>
      <c r="E27" s="11">
        <v>113581492.42882128</v>
      </c>
      <c r="F27" s="11">
        <v>24203696.988219865</v>
      </c>
      <c r="G27" s="11">
        <v>125961550.8188701</v>
      </c>
      <c r="H27" s="36">
        <v>353.46583263087575</v>
      </c>
      <c r="I27" s="27">
        <v>10</v>
      </c>
      <c r="J27" s="12">
        <v>-1.9336751266536206E-2</v>
      </c>
      <c r="K27" t="s">
        <v>375</v>
      </c>
    </row>
    <row r="29" spans="2:11" x14ac:dyDescent="0.45">
      <c r="B29" s="4" t="s">
        <v>376</v>
      </c>
    </row>
    <row r="30" spans="2:11" x14ac:dyDescent="0.45">
      <c r="B30" t="s">
        <v>371</v>
      </c>
      <c r="C30" s="11">
        <f t="shared" ref="C30:J34" si="0">C23-C$23</f>
        <v>0</v>
      </c>
      <c r="D30" s="11">
        <f t="shared" si="0"/>
        <v>0</v>
      </c>
      <c r="E30" s="11">
        <f t="shared" si="0"/>
        <v>0</v>
      </c>
      <c r="F30" s="11">
        <f t="shared" si="0"/>
        <v>0</v>
      </c>
      <c r="G30" s="11">
        <f t="shared" si="0"/>
        <v>0</v>
      </c>
      <c r="H30" s="36">
        <f t="shared" si="0"/>
        <v>0</v>
      </c>
      <c r="I30" s="27">
        <f t="shared" si="0"/>
        <v>0</v>
      </c>
      <c r="J30" s="37">
        <f t="shared" si="0"/>
        <v>0</v>
      </c>
    </row>
    <row r="31" spans="2:11" x14ac:dyDescent="0.45">
      <c r="B31" t="s">
        <v>372</v>
      </c>
      <c r="C31" s="11">
        <f t="shared" si="0"/>
        <v>572934.07908323873</v>
      </c>
      <c r="D31" s="11">
        <f t="shared" si="0"/>
        <v>-69141.798829853535</v>
      </c>
      <c r="E31" s="11">
        <f t="shared" si="0"/>
        <v>-642075.87791307271</v>
      </c>
      <c r="F31" s="11">
        <f t="shared" si="0"/>
        <v>0</v>
      </c>
      <c r="G31" s="11">
        <f t="shared" si="0"/>
        <v>-151884.39846681058</v>
      </c>
      <c r="H31" s="36">
        <f t="shared" si="0"/>
        <v>-0.61860038389215788</v>
      </c>
      <c r="I31" s="27">
        <f t="shared" si="0"/>
        <v>1</v>
      </c>
      <c r="J31" s="37">
        <f t="shared" si="0"/>
        <v>5.0848057786574349E-3</v>
      </c>
    </row>
    <row r="32" spans="2:11" x14ac:dyDescent="0.45">
      <c r="B32" t="s">
        <v>373</v>
      </c>
      <c r="C32" s="11">
        <f t="shared" si="0"/>
        <v>-308698.25768402778</v>
      </c>
      <c r="D32" s="11">
        <f t="shared" si="0"/>
        <v>485611.89225935936</v>
      </c>
      <c r="E32" s="11">
        <f t="shared" si="0"/>
        <v>794310.14994342625</v>
      </c>
      <c r="F32" s="11">
        <f t="shared" si="0"/>
        <v>1116416.0757117942</v>
      </c>
      <c r="G32" s="11">
        <f t="shared" si="0"/>
        <v>1129572.4668959677</v>
      </c>
      <c r="H32" s="36">
        <f t="shared" si="0"/>
        <v>-9.4702194777482873E-3</v>
      </c>
      <c r="I32" s="27">
        <f t="shared" si="0"/>
        <v>0</v>
      </c>
      <c r="J32" s="37">
        <f t="shared" si="0"/>
        <v>-2.5245646498323546E-3</v>
      </c>
    </row>
    <row r="33" spans="2:10" x14ac:dyDescent="0.45">
      <c r="B33" t="s">
        <v>374</v>
      </c>
      <c r="C33" s="11">
        <f t="shared" si="0"/>
        <v>264235.82139921002</v>
      </c>
      <c r="D33" s="11">
        <f t="shared" si="0"/>
        <v>416470.09342952073</v>
      </c>
      <c r="E33" s="11">
        <f t="shared" si="0"/>
        <v>152234.27203035355</v>
      </c>
      <c r="F33" s="11">
        <f t="shared" si="0"/>
        <v>1116416.0757117942</v>
      </c>
      <c r="G33" s="11">
        <f t="shared" si="0"/>
        <v>977688.06842915714</v>
      </c>
      <c r="H33" s="36">
        <f t="shared" si="0"/>
        <v>-0.62807060336990617</v>
      </c>
      <c r="I33" s="27">
        <f t="shared" si="0"/>
        <v>1</v>
      </c>
      <c r="J33" s="37">
        <f t="shared" si="0"/>
        <v>2.5367351076103078E-3</v>
      </c>
    </row>
    <row r="34" spans="2:10" x14ac:dyDescent="0.45">
      <c r="B34" t="s">
        <v>375</v>
      </c>
      <c r="C34" s="11">
        <f t="shared" si="0"/>
        <v>3516846.1849752758</v>
      </c>
      <c r="D34" s="11">
        <f t="shared" si="0"/>
        <v>-629771.8873193711</v>
      </c>
      <c r="E34" s="11">
        <f t="shared" si="0"/>
        <v>-4146618.0722946525</v>
      </c>
      <c r="F34" s="11">
        <f t="shared" si="0"/>
        <v>-1254500.5749595165</v>
      </c>
      <c r="G34" s="11">
        <f t="shared" si="0"/>
        <v>-1721242.1788554937</v>
      </c>
      <c r="H34" s="36">
        <f t="shared" si="0"/>
        <v>-4.5640370580938452</v>
      </c>
      <c r="I34" s="27">
        <f t="shared" si="0"/>
        <v>3</v>
      </c>
      <c r="J34" s="37">
        <f t="shared" si="0"/>
        <v>3.1275868422468128E-2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J76"/>
  <sheetViews>
    <sheetView workbookViewId="0"/>
  </sheetViews>
  <sheetFormatPr defaultRowHeight="14.25" x14ac:dyDescent="0.45"/>
  <cols>
    <col min="1" max="1" width="2" customWidth="1"/>
    <col min="2" max="2" width="50" customWidth="1"/>
    <col min="3" max="3" width="12" customWidth="1"/>
    <col min="4" max="4" width="13" customWidth="1"/>
    <col min="5" max="6" width="12.46484375" customWidth="1"/>
    <col min="7" max="7" width="18" customWidth="1"/>
    <col min="8" max="9" width="12.46484375" customWidth="1"/>
    <col min="10" max="10" width="60" customWidth="1"/>
    <col min="11" max="17" width="12.46484375" customWidth="1"/>
  </cols>
  <sheetData>
    <row r="1" spans="2:10" ht="18" x14ac:dyDescent="0.55000000000000004">
      <c r="B1" s="7" t="s">
        <v>377</v>
      </c>
    </row>
    <row r="2" spans="2:10" x14ac:dyDescent="0.45">
      <c r="B2" s="8" t="s">
        <v>378</v>
      </c>
    </row>
    <row r="4" spans="2:10" x14ac:dyDescent="0.45">
      <c r="B4" t="s">
        <v>379</v>
      </c>
      <c r="C4" s="29">
        <v>0</v>
      </c>
    </row>
    <row r="5" spans="2:10" x14ac:dyDescent="0.45">
      <c r="B5" t="s">
        <v>380</v>
      </c>
      <c r="C5" s="29">
        <v>1</v>
      </c>
    </row>
    <row r="6" spans="2:10" x14ac:dyDescent="0.45">
      <c r="B6" t="s">
        <v>381</v>
      </c>
      <c r="C6" s="29">
        <v>0</v>
      </c>
    </row>
    <row r="7" spans="2:10" x14ac:dyDescent="0.45">
      <c r="B7" t="s">
        <v>382</v>
      </c>
      <c r="C7" s="29">
        <v>0</v>
      </c>
    </row>
    <row r="8" spans="2:10" x14ac:dyDescent="0.45">
      <c r="B8" t="s">
        <v>383</v>
      </c>
      <c r="C8" s="29">
        <v>0</v>
      </c>
    </row>
    <row r="9" spans="2:10" x14ac:dyDescent="0.45">
      <c r="B9" s="4" t="s">
        <v>384</v>
      </c>
    </row>
    <row r="10" spans="2:10" x14ac:dyDescent="0.45">
      <c r="C10" s="9" t="s">
        <v>385</v>
      </c>
      <c r="D10" s="9" t="s">
        <v>386</v>
      </c>
      <c r="E10" s="9" t="s">
        <v>387</v>
      </c>
      <c r="F10" s="9" t="s">
        <v>388</v>
      </c>
      <c r="G10" s="9" t="s">
        <v>15</v>
      </c>
      <c r="H10" s="9"/>
      <c r="I10" s="9"/>
      <c r="J10" s="9" t="s">
        <v>389</v>
      </c>
    </row>
    <row r="11" spans="2:10" x14ac:dyDescent="0.45">
      <c r="B11" t="s">
        <v>201</v>
      </c>
      <c r="C11">
        <v>1</v>
      </c>
      <c r="D11" t="s">
        <v>390</v>
      </c>
      <c r="E11" s="24">
        <v>0.9</v>
      </c>
      <c r="F11" s="24">
        <v>1.1000000000000001</v>
      </c>
      <c r="G11" t="s">
        <v>185</v>
      </c>
      <c r="J11" t="s">
        <v>391</v>
      </c>
    </row>
    <row r="12" spans="2:10" x14ac:dyDescent="0.45">
      <c r="B12" t="s">
        <v>195</v>
      </c>
      <c r="C12">
        <v>2</v>
      </c>
      <c r="D12" t="s">
        <v>392</v>
      </c>
      <c r="E12" s="24">
        <v>0.21707797011392219</v>
      </c>
      <c r="F12" s="24">
        <v>0.27707797011392221</v>
      </c>
      <c r="G12" t="s">
        <v>196</v>
      </c>
      <c r="J12" t="s">
        <v>393</v>
      </c>
    </row>
    <row r="13" spans="2:10" x14ac:dyDescent="0.45">
      <c r="B13" t="s">
        <v>394</v>
      </c>
      <c r="C13">
        <v>3</v>
      </c>
      <c r="D13" t="s">
        <v>395</v>
      </c>
      <c r="E13" s="24">
        <v>0.15</v>
      </c>
      <c r="F13" s="24">
        <v>0.25</v>
      </c>
      <c r="G13" t="s">
        <v>196</v>
      </c>
      <c r="J13" t="s">
        <v>396</v>
      </c>
    </row>
    <row r="14" spans="2:10" x14ac:dyDescent="0.45">
      <c r="B14" t="s">
        <v>230</v>
      </c>
      <c r="C14">
        <v>4</v>
      </c>
      <c r="D14" t="s">
        <v>397</v>
      </c>
      <c r="E14" s="24">
        <v>0.09</v>
      </c>
      <c r="F14" s="24">
        <v>0.13</v>
      </c>
      <c r="G14" t="s">
        <v>231</v>
      </c>
      <c r="J14" t="s">
        <v>398</v>
      </c>
    </row>
    <row r="15" spans="2:10" x14ac:dyDescent="0.45">
      <c r="B15" t="s">
        <v>226</v>
      </c>
      <c r="C15">
        <v>5</v>
      </c>
      <c r="D15" t="s">
        <v>399</v>
      </c>
      <c r="E15" s="24">
        <v>0.8</v>
      </c>
      <c r="F15" s="24">
        <v>1.2</v>
      </c>
      <c r="G15" t="s">
        <v>185</v>
      </c>
      <c r="J15" t="s">
        <v>400</v>
      </c>
    </row>
    <row r="16" spans="2:10" x14ac:dyDescent="0.45">
      <c r="B16" t="s">
        <v>401</v>
      </c>
      <c r="C16">
        <v>6</v>
      </c>
      <c r="D16" t="s">
        <v>402</v>
      </c>
      <c r="E16" s="24">
        <v>0.55000000000000004</v>
      </c>
      <c r="F16" s="24">
        <v>0.85</v>
      </c>
      <c r="G16" t="s">
        <v>244</v>
      </c>
      <c r="J16" t="s">
        <v>403</v>
      </c>
    </row>
    <row r="17" spans="2:10" x14ac:dyDescent="0.45">
      <c r="B17" t="s">
        <v>404</v>
      </c>
      <c r="C17">
        <v>7</v>
      </c>
      <c r="D17" t="s">
        <v>405</v>
      </c>
      <c r="E17" s="23">
        <v>680000</v>
      </c>
      <c r="F17" s="23">
        <v>920000</v>
      </c>
      <c r="G17" t="s">
        <v>406</v>
      </c>
      <c r="J17" t="s">
        <v>407</v>
      </c>
    </row>
    <row r="18" spans="2:10" x14ac:dyDescent="0.45">
      <c r="B18" t="s">
        <v>408</v>
      </c>
      <c r="C18">
        <v>8</v>
      </c>
      <c r="D18" t="s">
        <v>409</v>
      </c>
      <c r="E18" s="24">
        <v>0.08</v>
      </c>
      <c r="F18" s="24">
        <v>0.16</v>
      </c>
      <c r="G18" t="s">
        <v>250</v>
      </c>
      <c r="J18" t="s">
        <v>410</v>
      </c>
    </row>
    <row r="19" spans="2:10" x14ac:dyDescent="0.45">
      <c r="B19" t="s">
        <v>411</v>
      </c>
      <c r="C19">
        <v>9</v>
      </c>
      <c r="D19" t="s">
        <v>412</v>
      </c>
      <c r="E19" s="24">
        <v>0.06</v>
      </c>
      <c r="F19" s="24">
        <v>0.12</v>
      </c>
      <c r="G19" t="s">
        <v>250</v>
      </c>
      <c r="J19" t="s">
        <v>413</v>
      </c>
    </row>
    <row r="20" spans="2:10" x14ac:dyDescent="0.45">
      <c r="B20" t="s">
        <v>414</v>
      </c>
      <c r="C20">
        <v>10</v>
      </c>
      <c r="D20" t="s">
        <v>415</v>
      </c>
      <c r="E20" s="24">
        <v>0.08</v>
      </c>
      <c r="F20" s="24">
        <v>0.2</v>
      </c>
      <c r="G20" t="s">
        <v>261</v>
      </c>
      <c r="J20" t="s">
        <v>416</v>
      </c>
    </row>
    <row r="21" spans="2:10" x14ac:dyDescent="0.45">
      <c r="B21" t="s">
        <v>417</v>
      </c>
      <c r="C21">
        <v>11</v>
      </c>
      <c r="D21" t="s">
        <v>418</v>
      </c>
      <c r="E21" s="24">
        <v>1</v>
      </c>
      <c r="F21" s="24">
        <v>5</v>
      </c>
      <c r="G21" t="s">
        <v>247</v>
      </c>
      <c r="J21" t="s">
        <v>419</v>
      </c>
    </row>
    <row r="22" spans="2:10" x14ac:dyDescent="0.45">
      <c r="B22" t="s">
        <v>420</v>
      </c>
      <c r="C22">
        <v>12</v>
      </c>
      <c r="D22" t="s">
        <v>421</v>
      </c>
      <c r="E22" s="24">
        <v>-2</v>
      </c>
      <c r="F22" s="24">
        <v>2</v>
      </c>
      <c r="G22" t="s">
        <v>247</v>
      </c>
      <c r="J22" t="s">
        <v>422</v>
      </c>
    </row>
    <row r="23" spans="2:10" x14ac:dyDescent="0.45">
      <c r="B23" t="s">
        <v>423</v>
      </c>
      <c r="C23">
        <v>13</v>
      </c>
      <c r="D23" t="s">
        <v>424</v>
      </c>
      <c r="E23" s="24">
        <v>4</v>
      </c>
      <c r="F23" s="24">
        <v>9</v>
      </c>
      <c r="G23" t="s">
        <v>247</v>
      </c>
      <c r="J23" t="s">
        <v>425</v>
      </c>
    </row>
    <row r="24" spans="2:10" x14ac:dyDescent="0.45">
      <c r="B24" t="s">
        <v>426</v>
      </c>
      <c r="C24">
        <v>14</v>
      </c>
      <c r="D24" t="s">
        <v>427</v>
      </c>
      <c r="E24" s="23">
        <v>75000</v>
      </c>
      <c r="F24" s="23">
        <v>225000</v>
      </c>
      <c r="G24" t="s">
        <v>258</v>
      </c>
      <c r="J24" t="s">
        <v>428</v>
      </c>
    </row>
    <row r="27" spans="2:10" x14ac:dyDescent="0.45">
      <c r="B27" s="4" t="s">
        <v>429</v>
      </c>
    </row>
    <row r="28" spans="2:10" x14ac:dyDescent="0.45">
      <c r="C28" s="11">
        <f>out_oi</f>
        <v>-5671479.6413371321</v>
      </c>
      <c r="D28">
        <v>-1</v>
      </c>
      <c r="E28">
        <v>1</v>
      </c>
      <c r="G28" t="s">
        <v>430</v>
      </c>
      <c r="H28" t="s">
        <v>431</v>
      </c>
      <c r="I28" t="s">
        <v>432</v>
      </c>
    </row>
    <row r="29" spans="2:10" x14ac:dyDescent="0.45">
      <c r="B29" t="s">
        <v>201</v>
      </c>
      <c r="C29">
        <v>1</v>
      </c>
      <c r="D29" s="11">
        <f t="dataTable" ref="D29:E42" dt2D="1" dtr="1" r1="C5" r2="C4" ca="1"/>
        <v>2693027.4453170476</v>
      </c>
      <c r="E29" s="11">
        <v>-14035986.727991328</v>
      </c>
      <c r="G29" s="11">
        <f t="shared" ref="G29:G42" si="0">D29-$C$28</f>
        <v>8364507.0866541797</v>
      </c>
      <c r="H29" s="11">
        <f t="shared" ref="H29:H42" si="1">E29-$C$28</f>
        <v>-8364507.0866541956</v>
      </c>
      <c r="I29" s="11">
        <f t="shared" ref="I29:I42" si="2">MAX(ABS(G29),ABS(H29))</f>
        <v>8364507.0866541956</v>
      </c>
    </row>
    <row r="30" spans="2:10" x14ac:dyDescent="0.45">
      <c r="B30" t="s">
        <v>195</v>
      </c>
      <c r="C30">
        <v>2</v>
      </c>
      <c r="D30" s="11">
        <v>-3937397.4579156684</v>
      </c>
      <c r="E30" s="11">
        <v>-7405561.8247586042</v>
      </c>
      <c r="G30" s="11">
        <f t="shared" si="0"/>
        <v>1734082.1834214637</v>
      </c>
      <c r="H30" s="11">
        <f t="shared" si="1"/>
        <v>-1734082.1834214721</v>
      </c>
      <c r="I30" s="11">
        <f t="shared" si="2"/>
        <v>1734082.1834214721</v>
      </c>
    </row>
    <row r="31" spans="2:10" x14ac:dyDescent="0.45">
      <c r="B31" t="s">
        <v>394</v>
      </c>
      <c r="C31">
        <v>3</v>
      </c>
      <c r="D31" s="11">
        <v>-2781342.66896802</v>
      </c>
      <c r="E31" s="11">
        <v>-8561616.613706246</v>
      </c>
      <c r="G31" s="11">
        <f t="shared" si="0"/>
        <v>2890136.9723691121</v>
      </c>
      <c r="H31" s="11">
        <f t="shared" si="1"/>
        <v>-2890136.9723691139</v>
      </c>
      <c r="I31" s="11">
        <f t="shared" si="2"/>
        <v>2890136.9723691139</v>
      </c>
    </row>
    <row r="32" spans="2:10" x14ac:dyDescent="0.45">
      <c r="B32" t="s">
        <v>230</v>
      </c>
      <c r="C32">
        <v>4</v>
      </c>
      <c r="D32" s="11">
        <v>-3430347.0241415584</v>
      </c>
      <c r="E32" s="11">
        <v>-7912612.2585327085</v>
      </c>
      <c r="G32" s="11">
        <f t="shared" si="0"/>
        <v>2241132.6171955736</v>
      </c>
      <c r="H32" s="11">
        <f t="shared" si="1"/>
        <v>-2241132.6171955764</v>
      </c>
      <c r="I32" s="11">
        <f t="shared" si="2"/>
        <v>2241132.6171955764</v>
      </c>
    </row>
    <row r="33" spans="2:9" x14ac:dyDescent="0.45">
      <c r="B33" t="s">
        <v>226</v>
      </c>
      <c r="C33">
        <v>5</v>
      </c>
      <c r="D33" s="11">
        <v>-3991479.6413371321</v>
      </c>
      <c r="E33" s="11">
        <v>-7351479.6413371321</v>
      </c>
      <c r="G33" s="11">
        <f t="shared" si="0"/>
        <v>1680000</v>
      </c>
      <c r="H33" s="11">
        <f t="shared" si="1"/>
        <v>-1680000</v>
      </c>
      <c r="I33" s="11">
        <f t="shared" si="2"/>
        <v>1680000</v>
      </c>
    </row>
    <row r="34" spans="2:9" x14ac:dyDescent="0.45">
      <c r="B34" t="s">
        <v>401</v>
      </c>
      <c r="C34">
        <v>6</v>
      </c>
      <c r="D34" s="11">
        <v>-7480844.584455451</v>
      </c>
      <c r="E34" s="11">
        <v>-3862114.698218815</v>
      </c>
      <c r="G34" s="11">
        <f t="shared" si="0"/>
        <v>-1809364.9431183189</v>
      </c>
      <c r="H34" s="11">
        <f t="shared" si="1"/>
        <v>1809364.9431183171</v>
      </c>
      <c r="I34" s="11">
        <f t="shared" si="2"/>
        <v>1809364.9431183189</v>
      </c>
    </row>
    <row r="35" spans="2:9" x14ac:dyDescent="0.45">
      <c r="B35" t="s">
        <v>404</v>
      </c>
      <c r="C35">
        <v>7</v>
      </c>
      <c r="D35" s="11">
        <v>-6938035.1015199227</v>
      </c>
      <c r="E35" s="11">
        <v>-4404924.1811543237</v>
      </c>
      <c r="G35" s="11">
        <f t="shared" si="0"/>
        <v>-1266555.4601827906</v>
      </c>
      <c r="H35" s="11">
        <f t="shared" si="1"/>
        <v>1266555.4601828083</v>
      </c>
      <c r="I35" s="11">
        <f t="shared" si="2"/>
        <v>1266555.4601828083</v>
      </c>
    </row>
    <row r="36" spans="2:9" x14ac:dyDescent="0.45">
      <c r="B36" t="s">
        <v>408</v>
      </c>
      <c r="C36">
        <v>8</v>
      </c>
      <c r="D36" s="11">
        <v>-7552778.7373257205</v>
      </c>
      <c r="E36" s="11">
        <v>-3746568.9057969488</v>
      </c>
      <c r="G36" s="11">
        <f t="shared" si="0"/>
        <v>-1881299.0959885884</v>
      </c>
      <c r="H36" s="11">
        <f t="shared" si="1"/>
        <v>1924910.7355401833</v>
      </c>
      <c r="I36" s="11">
        <f t="shared" si="2"/>
        <v>1924910.7355401833</v>
      </c>
    </row>
    <row r="37" spans="2:9" x14ac:dyDescent="0.45">
      <c r="B37" t="s">
        <v>411</v>
      </c>
      <c r="C37">
        <v>9</v>
      </c>
      <c r="D37" s="11">
        <v>-4231941.6587652517</v>
      </c>
      <c r="E37" s="11">
        <v>-7086486.5549377818</v>
      </c>
      <c r="G37" s="11">
        <f t="shared" si="0"/>
        <v>1439537.9825718803</v>
      </c>
      <c r="H37" s="11">
        <f t="shared" si="1"/>
        <v>-1415006.9136006497</v>
      </c>
      <c r="I37" s="11">
        <f t="shared" si="2"/>
        <v>1439537.9825718803</v>
      </c>
    </row>
    <row r="38" spans="2:9" x14ac:dyDescent="0.45">
      <c r="B38" t="s">
        <v>414</v>
      </c>
      <c r="C38">
        <v>10</v>
      </c>
      <c r="D38" s="11">
        <v>-4949340.4952497948</v>
      </c>
      <c r="E38" s="11">
        <v>-6393936.3537960583</v>
      </c>
      <c r="G38" s="11">
        <f t="shared" si="0"/>
        <v>722139.14608733729</v>
      </c>
      <c r="H38" s="11">
        <f t="shared" si="1"/>
        <v>-722456.71245892625</v>
      </c>
      <c r="I38" s="11">
        <f t="shared" si="2"/>
        <v>722456.71245892625</v>
      </c>
    </row>
    <row r="39" spans="2:9" x14ac:dyDescent="0.45">
      <c r="B39" t="s">
        <v>417</v>
      </c>
      <c r="C39">
        <v>11</v>
      </c>
      <c r="D39" s="11">
        <v>-5860559.4942099741</v>
      </c>
      <c r="E39" s="11">
        <v>-5541699.3248894196</v>
      </c>
      <c r="G39" s="11">
        <f t="shared" si="0"/>
        <v>-189079.85287284199</v>
      </c>
      <c r="H39" s="11">
        <f t="shared" si="1"/>
        <v>129780.31644771248</v>
      </c>
      <c r="I39" s="11">
        <f t="shared" si="2"/>
        <v>189079.85287284199</v>
      </c>
    </row>
    <row r="40" spans="2:9" x14ac:dyDescent="0.45">
      <c r="B40" t="s">
        <v>420</v>
      </c>
      <c r="C40">
        <v>12</v>
      </c>
      <c r="D40" s="11">
        <v>-7418656.889951814</v>
      </c>
      <c r="E40" s="11">
        <v>-3395650.7751935832</v>
      </c>
      <c r="G40" s="11">
        <f t="shared" si="0"/>
        <v>-1747177.2486146819</v>
      </c>
      <c r="H40" s="11">
        <f t="shared" si="1"/>
        <v>2275828.8661435489</v>
      </c>
      <c r="I40" s="11">
        <f t="shared" si="2"/>
        <v>2275828.8661435489</v>
      </c>
    </row>
    <row r="41" spans="2:9" x14ac:dyDescent="0.45">
      <c r="B41" t="s">
        <v>423</v>
      </c>
      <c r="C41">
        <v>13</v>
      </c>
      <c r="D41" s="11">
        <v>-5499288.1179186134</v>
      </c>
      <c r="E41" s="11">
        <v>-5835135.1119762557</v>
      </c>
      <c r="G41" s="11">
        <f t="shared" si="0"/>
        <v>172191.52341851871</v>
      </c>
      <c r="H41" s="11">
        <f t="shared" si="1"/>
        <v>-163655.47063912358</v>
      </c>
      <c r="I41" s="11">
        <f t="shared" si="2"/>
        <v>172191.52341851871</v>
      </c>
    </row>
    <row r="42" spans="2:9" x14ac:dyDescent="0.45">
      <c r="B42" t="s">
        <v>426</v>
      </c>
      <c r="C42">
        <v>14</v>
      </c>
      <c r="D42" s="11">
        <v>-5771987.9335269621</v>
      </c>
      <c r="E42" s="11">
        <v>-5570971.3491472946</v>
      </c>
      <c r="G42" s="11">
        <f t="shared" si="0"/>
        <v>-100508.29218982998</v>
      </c>
      <c r="H42" s="11">
        <f t="shared" si="1"/>
        <v>100508.29218983743</v>
      </c>
      <c r="I42" s="11">
        <f t="shared" si="2"/>
        <v>100508.29218983743</v>
      </c>
    </row>
    <row r="44" spans="2:9" x14ac:dyDescent="0.45">
      <c r="B44" s="4" t="s">
        <v>433</v>
      </c>
    </row>
    <row r="45" spans="2:9" x14ac:dyDescent="0.45">
      <c r="C45" s="11">
        <f>out_arrExit</f>
        <v>127682792.99772559</v>
      </c>
      <c r="D45">
        <v>-1</v>
      </c>
      <c r="E45">
        <v>1</v>
      </c>
      <c r="G45" t="s">
        <v>430</v>
      </c>
      <c r="H45" t="s">
        <v>431</v>
      </c>
      <c r="I45" t="s">
        <v>432</v>
      </c>
    </row>
    <row r="46" spans="2:9" x14ac:dyDescent="0.45">
      <c r="B46" t="s">
        <v>201</v>
      </c>
      <c r="C46">
        <v>1</v>
      </c>
      <c r="D46" s="11">
        <f t="dataTable" ref="D46:E59" dt2D="1" dtr="1" r1="C5" r2="C4" ca="1"/>
        <v>127682792.99772559</v>
      </c>
      <c r="E46" s="11">
        <v>127682792.99772559</v>
      </c>
      <c r="G46" s="11">
        <f t="shared" ref="G46:G59" si="3">D46-$C$45</f>
        <v>0</v>
      </c>
      <c r="H46" s="11">
        <f t="shared" ref="H46:H59" si="4">E46-$C$45</f>
        <v>0</v>
      </c>
      <c r="I46" s="11">
        <f t="shared" ref="I46:I59" si="5">MAX(ABS(G46),ABS(H46))</f>
        <v>0</v>
      </c>
    </row>
    <row r="47" spans="2:9" x14ac:dyDescent="0.45">
      <c r="B47" t="s">
        <v>195</v>
      </c>
      <c r="C47">
        <v>2</v>
      </c>
      <c r="D47" s="11">
        <v>127682792.99772559</v>
      </c>
      <c r="E47" s="11">
        <v>127682792.99772559</v>
      </c>
      <c r="G47" s="11">
        <f t="shared" si="3"/>
        <v>0</v>
      </c>
      <c r="H47" s="11">
        <f t="shared" si="4"/>
        <v>0</v>
      </c>
      <c r="I47" s="11">
        <f t="shared" si="5"/>
        <v>0</v>
      </c>
    </row>
    <row r="48" spans="2:9" x14ac:dyDescent="0.45">
      <c r="B48" t="s">
        <v>394</v>
      </c>
      <c r="C48">
        <v>3</v>
      </c>
      <c r="D48" s="11">
        <v>127682792.99772559</v>
      </c>
      <c r="E48" s="11">
        <v>127682792.99772559</v>
      </c>
      <c r="G48" s="11">
        <f t="shared" si="3"/>
        <v>0</v>
      </c>
      <c r="H48" s="11">
        <f t="shared" si="4"/>
        <v>0</v>
      </c>
      <c r="I48" s="11">
        <f t="shared" si="5"/>
        <v>0</v>
      </c>
    </row>
    <row r="49" spans="2:9" x14ac:dyDescent="0.45">
      <c r="B49" t="s">
        <v>230</v>
      </c>
      <c r="C49">
        <v>4</v>
      </c>
      <c r="D49" s="11">
        <v>127682792.99772559</v>
      </c>
      <c r="E49" s="11">
        <v>127682792.99772559</v>
      </c>
      <c r="G49" s="11">
        <f t="shared" si="3"/>
        <v>0</v>
      </c>
      <c r="H49" s="11">
        <f t="shared" si="4"/>
        <v>0</v>
      </c>
      <c r="I49" s="11">
        <f t="shared" si="5"/>
        <v>0</v>
      </c>
    </row>
    <row r="50" spans="2:9" x14ac:dyDescent="0.45">
      <c r="B50" t="s">
        <v>226</v>
      </c>
      <c r="C50">
        <v>5</v>
      </c>
      <c r="D50" s="11">
        <v>127682792.99772559</v>
      </c>
      <c r="E50" s="11">
        <v>127682792.99772559</v>
      </c>
      <c r="G50" s="11">
        <f t="shared" si="3"/>
        <v>0</v>
      </c>
      <c r="H50" s="11">
        <f t="shared" si="4"/>
        <v>0</v>
      </c>
      <c r="I50" s="11">
        <f t="shared" si="5"/>
        <v>0</v>
      </c>
    </row>
    <row r="51" spans="2:9" x14ac:dyDescent="0.45">
      <c r="B51" t="s">
        <v>401</v>
      </c>
      <c r="C51">
        <v>6</v>
      </c>
      <c r="D51" s="11">
        <v>122154996.11879475</v>
      </c>
      <c r="E51" s="11">
        <v>133210589.87665641</v>
      </c>
      <c r="G51" s="11">
        <f t="shared" si="3"/>
        <v>-5527796.8789308369</v>
      </c>
      <c r="H51" s="11">
        <f t="shared" si="4"/>
        <v>5527796.878930822</v>
      </c>
      <c r="I51" s="11">
        <f t="shared" si="5"/>
        <v>5527796.8789308369</v>
      </c>
    </row>
    <row r="52" spans="2:9" x14ac:dyDescent="0.45">
      <c r="B52" t="s">
        <v>404</v>
      </c>
      <c r="C52">
        <v>7</v>
      </c>
      <c r="D52" s="11">
        <v>123813335.18247406</v>
      </c>
      <c r="E52" s="11">
        <v>131552250.81297716</v>
      </c>
      <c r="G52" s="11">
        <f t="shared" si="3"/>
        <v>-3869457.8152515292</v>
      </c>
      <c r="H52" s="11">
        <f t="shared" si="4"/>
        <v>3869457.8152515739</v>
      </c>
      <c r="I52" s="11">
        <f t="shared" si="5"/>
        <v>3869457.8152515739</v>
      </c>
    </row>
    <row r="53" spans="2:9" x14ac:dyDescent="0.45">
      <c r="B53" t="s">
        <v>408</v>
      </c>
      <c r="C53">
        <v>8</v>
      </c>
      <c r="D53" s="11">
        <v>123269298.32097174</v>
      </c>
      <c r="E53" s="11">
        <v>132253652.70987526</v>
      </c>
      <c r="G53" s="11">
        <f t="shared" si="3"/>
        <v>-4413494.6767538488</v>
      </c>
      <c r="H53" s="11">
        <f t="shared" si="4"/>
        <v>4570859.7121496648</v>
      </c>
      <c r="I53" s="11">
        <f t="shared" si="5"/>
        <v>4570859.7121496648</v>
      </c>
    </row>
    <row r="54" spans="2:9" x14ac:dyDescent="0.45">
      <c r="B54" t="s">
        <v>411</v>
      </c>
      <c r="C54">
        <v>9</v>
      </c>
      <c r="D54" s="11">
        <v>131095903.16130589</v>
      </c>
      <c r="E54" s="11">
        <v>124358197.56317939</v>
      </c>
      <c r="G54" s="11">
        <f t="shared" si="3"/>
        <v>3413110.1635802984</v>
      </c>
      <c r="H54" s="11">
        <f t="shared" si="4"/>
        <v>-3324595.4345462024</v>
      </c>
      <c r="I54" s="11">
        <f t="shared" si="5"/>
        <v>3413110.1635802984</v>
      </c>
    </row>
    <row r="55" spans="2:9" x14ac:dyDescent="0.45">
      <c r="B55" t="s">
        <v>414</v>
      </c>
      <c r="C55">
        <v>10</v>
      </c>
      <c r="D55" s="11">
        <v>127965750.75426994</v>
      </c>
      <c r="E55" s="11">
        <v>127403682.89184318</v>
      </c>
      <c r="G55" s="11">
        <f t="shared" si="3"/>
        <v>282957.75654435158</v>
      </c>
      <c r="H55" s="11">
        <f t="shared" si="4"/>
        <v>-279110.10588240623</v>
      </c>
      <c r="I55" s="11">
        <f t="shared" si="5"/>
        <v>282957.75654435158</v>
      </c>
    </row>
    <row r="56" spans="2:9" x14ac:dyDescent="0.45">
      <c r="B56" t="s">
        <v>417</v>
      </c>
      <c r="C56">
        <v>11</v>
      </c>
      <c r="D56" s="11">
        <v>127715750.90877084</v>
      </c>
      <c r="E56" s="11">
        <v>127665191.1416316</v>
      </c>
      <c r="G56" s="11">
        <f t="shared" si="3"/>
        <v>32957.911045253277</v>
      </c>
      <c r="H56" s="11">
        <f t="shared" si="4"/>
        <v>-17601.856093987823</v>
      </c>
      <c r="I56" s="11">
        <f t="shared" si="5"/>
        <v>32957.911045253277</v>
      </c>
    </row>
    <row r="57" spans="2:9" x14ac:dyDescent="0.45">
      <c r="B57" t="s">
        <v>420</v>
      </c>
      <c r="C57">
        <v>12</v>
      </c>
      <c r="D57" s="11">
        <v>128615707.09490229</v>
      </c>
      <c r="E57" s="11">
        <v>126492950.40154959</v>
      </c>
      <c r="G57" s="11">
        <f t="shared" si="3"/>
        <v>932914.09717670083</v>
      </c>
      <c r="H57" s="11">
        <f t="shared" si="4"/>
        <v>-1189842.5961759984</v>
      </c>
      <c r="I57" s="11">
        <f t="shared" si="5"/>
        <v>1189842.5961759984</v>
      </c>
    </row>
    <row r="58" spans="2:9" x14ac:dyDescent="0.45">
      <c r="B58" t="s">
        <v>423</v>
      </c>
      <c r="C58">
        <v>13</v>
      </c>
      <c r="D58" s="11">
        <v>128375105.49429546</v>
      </c>
      <c r="E58" s="11">
        <v>126834863.53458394</v>
      </c>
      <c r="G58" s="11">
        <f t="shared" si="3"/>
        <v>692312.4965698719</v>
      </c>
      <c r="H58" s="11">
        <f t="shared" si="4"/>
        <v>-847929.46314164996</v>
      </c>
      <c r="I58" s="11">
        <f t="shared" si="5"/>
        <v>847929.46314164996</v>
      </c>
    </row>
    <row r="59" spans="2:9" x14ac:dyDescent="0.45">
      <c r="B59" t="s">
        <v>426</v>
      </c>
      <c r="C59">
        <v>14</v>
      </c>
      <c r="D59" s="11">
        <v>127229971.1051299</v>
      </c>
      <c r="E59" s="11">
        <v>128135614.89032131</v>
      </c>
      <c r="G59" s="11">
        <f t="shared" si="3"/>
        <v>-452821.89259569347</v>
      </c>
      <c r="H59" s="11">
        <f t="shared" si="4"/>
        <v>452821.89259572327</v>
      </c>
      <c r="I59" s="11">
        <f t="shared" si="5"/>
        <v>452821.89259572327</v>
      </c>
    </row>
    <row r="61" spans="2:9" x14ac:dyDescent="0.45">
      <c r="B61" s="4" t="s">
        <v>434</v>
      </c>
      <c r="D61" s="38">
        <f>x_attainment-Sens_attainment+D62</f>
        <v>0.55000000000000004</v>
      </c>
      <c r="E61" s="38">
        <f>x_attainment-Sens_attainment+E62</f>
        <v>0.625</v>
      </c>
      <c r="F61" s="38">
        <f>x_attainment-Sens_attainment+F62</f>
        <v>0.7</v>
      </c>
      <c r="G61" s="38">
        <f>x_attainment-Sens_attainment+G62</f>
        <v>0.77500000000000002</v>
      </c>
      <c r="H61" s="38">
        <f>x_attainment-Sens_attainment+H62</f>
        <v>0.85</v>
      </c>
    </row>
    <row r="62" spans="2:9" x14ac:dyDescent="0.45">
      <c r="C62" s="11">
        <f>out_oi</f>
        <v>-5671479.6413371321</v>
      </c>
      <c r="D62" s="39">
        <v>-0.14999999999999991</v>
      </c>
      <c r="E62" s="39">
        <v>-7.4999999999999956E-2</v>
      </c>
      <c r="F62" s="39">
        <v>0</v>
      </c>
      <c r="G62" s="39">
        <v>7.5000000000000067E-2</v>
      </c>
      <c r="H62" s="39">
        <v>0.15</v>
      </c>
    </row>
    <row r="63" spans="2:9" x14ac:dyDescent="0.45">
      <c r="B63" s="40">
        <f>x_payMult-Sens_payMult+C63</f>
        <v>0.9</v>
      </c>
      <c r="C63" s="39">
        <v>-9.9999999999999978E-2</v>
      </c>
      <c r="D63" s="11">
        <f t="dataTable" ref="D63:H67" dt2D="1" dtr="1" r1="C7" r2="C6" ca="1"/>
        <v>883662.5021987306</v>
      </c>
      <c r="E63" s="11">
        <v>1788344.9737578947</v>
      </c>
      <c r="F63" s="11">
        <v>2693027.4453170476</v>
      </c>
      <c r="G63" s="11">
        <v>3597709.9168761969</v>
      </c>
      <c r="H63" s="11">
        <v>4502392.3884353712</v>
      </c>
    </row>
    <row r="64" spans="2:9" x14ac:dyDescent="0.45">
      <c r="B64" s="40">
        <f>x_payMult-Sens_payMult+C64</f>
        <v>0.95000000000000007</v>
      </c>
      <c r="C64" s="39">
        <v>-4.9999999999999933E-2</v>
      </c>
      <c r="D64" s="11">
        <v>-3298591.0411283681</v>
      </c>
      <c r="E64" s="11">
        <v>-2393908.5695692077</v>
      </c>
      <c r="F64" s="11">
        <v>-1489226.0980100501</v>
      </c>
      <c r="G64" s="11">
        <v>-584543.62645090092</v>
      </c>
      <c r="H64" s="11">
        <v>320138.84510826878</v>
      </c>
    </row>
    <row r="65" spans="2:8" x14ac:dyDescent="0.45">
      <c r="B65" s="40">
        <f>x_payMult-Sens_payMult+C65</f>
        <v>1</v>
      </c>
      <c r="C65" s="39">
        <v>0</v>
      </c>
      <c r="D65" s="11">
        <v>-7480844.584455451</v>
      </c>
      <c r="E65" s="11">
        <v>-6576162.112896286</v>
      </c>
      <c r="F65" s="11">
        <v>-5671479.6413371321</v>
      </c>
      <c r="G65" s="11">
        <v>-4766797.1697779829</v>
      </c>
      <c r="H65" s="11">
        <v>-3862114.698218815</v>
      </c>
    </row>
    <row r="66" spans="2:8" x14ac:dyDescent="0.45">
      <c r="B66" s="40">
        <f>x_payMult-Sens_payMult+C66</f>
        <v>1.05</v>
      </c>
      <c r="C66" s="39">
        <v>5.0000000000000037E-2</v>
      </c>
      <c r="D66" s="11">
        <v>-11663098.127782553</v>
      </c>
      <c r="E66" s="11">
        <v>-10758415.656223392</v>
      </c>
      <c r="F66" s="11">
        <v>-9853733.1846642345</v>
      </c>
      <c r="G66" s="11">
        <v>-8949050.7131050881</v>
      </c>
      <c r="H66" s="11">
        <v>-8044368.2415459137</v>
      </c>
    </row>
    <row r="67" spans="2:8" x14ac:dyDescent="0.45">
      <c r="B67" s="40">
        <f>x_payMult-Sens_payMult+C67</f>
        <v>1.1000000000000001</v>
      </c>
      <c r="C67" s="39">
        <v>0.1000000000000001</v>
      </c>
      <c r="D67" s="11">
        <v>-15845351.671109647</v>
      </c>
      <c r="E67" s="11">
        <v>-14940669.199550483</v>
      </c>
      <c r="F67" s="11">
        <v>-14035986.727991328</v>
      </c>
      <c r="G67" s="11">
        <v>-13131304.256432181</v>
      </c>
      <c r="H67" s="11">
        <v>-12226621.784873007</v>
      </c>
    </row>
    <row r="70" spans="2:8" x14ac:dyDescent="0.45">
      <c r="B70" s="4" t="s">
        <v>435</v>
      </c>
      <c r="D70" s="38">
        <f>x_expansion-Sens_expansion+D71</f>
        <v>8.0000000000000016E-2</v>
      </c>
      <c r="E70" s="38">
        <f>x_expansion-Sens_expansion+E71</f>
        <v>0.1</v>
      </c>
      <c r="F70" s="38">
        <f>x_expansion-Sens_expansion+F71</f>
        <v>0.12</v>
      </c>
      <c r="G70" s="38">
        <f>x_expansion-Sens_expansion+G71</f>
        <v>0.14000000000000001</v>
      </c>
      <c r="H70" s="38">
        <f>x_expansion-Sens_expansion+H71</f>
        <v>0.16</v>
      </c>
    </row>
    <row r="71" spans="2:8" x14ac:dyDescent="0.45">
      <c r="C71" s="11">
        <f>out_arrExit</f>
        <v>127682792.99772559</v>
      </c>
      <c r="D71" s="39">
        <v>-3.9999999999999987E-2</v>
      </c>
      <c r="E71" s="39">
        <v>-1.999999999999999E-2</v>
      </c>
      <c r="F71" s="39">
        <v>0</v>
      </c>
      <c r="G71" s="39">
        <v>2.0000000000000021E-2</v>
      </c>
      <c r="H71" s="39">
        <v>4.0000000000000008E-2</v>
      </c>
    </row>
    <row r="72" spans="2:8" x14ac:dyDescent="0.45">
      <c r="B72" s="38">
        <f>x_attainment-Sens_attainment+C72</f>
        <v>0.55000000000000004</v>
      </c>
      <c r="C72" s="39">
        <v>-0.14999999999999991</v>
      </c>
      <c r="D72" s="11">
        <f t="dataTable" ref="D72:H76" dt2D="1" dtr="1" r1="C8" r2="C7" ca="1"/>
        <v>117837864.31545126</v>
      </c>
      <c r="E72" s="11">
        <v>119977341.232364</v>
      </c>
      <c r="F72" s="11">
        <v>122154996.11879475</v>
      </c>
      <c r="G72" s="11">
        <v>124371458.57187055</v>
      </c>
      <c r="H72" s="11">
        <v>126627367.58380957</v>
      </c>
    </row>
    <row r="73" spans="2:8" x14ac:dyDescent="0.45">
      <c r="B73" s="38">
        <f>x_attainment-Sens_attainment+C73</f>
        <v>0.625</v>
      </c>
      <c r="C73" s="39">
        <v>-7.4999999999999956E-2</v>
      </c>
      <c r="D73" s="11">
        <v>120553581.31821151</v>
      </c>
      <c r="E73" s="11">
        <v>122717017.59338002</v>
      </c>
      <c r="F73" s="11">
        <v>124918894.55826017</v>
      </c>
      <c r="G73" s="11">
        <v>127159844.75365633</v>
      </c>
      <c r="H73" s="11">
        <v>129440510.14684238</v>
      </c>
    </row>
    <row r="74" spans="2:8" x14ac:dyDescent="0.45">
      <c r="B74" s="38">
        <f>x_attainment-Sens_attainment+C74</f>
        <v>0.7</v>
      </c>
      <c r="C74" s="39">
        <v>0</v>
      </c>
      <c r="D74" s="11">
        <v>123269298.32097174</v>
      </c>
      <c r="E74" s="11">
        <v>125456693.95439613</v>
      </c>
      <c r="F74" s="11">
        <v>127682792.99772559</v>
      </c>
      <c r="G74" s="11">
        <v>129948230.93544208</v>
      </c>
      <c r="H74" s="11">
        <v>132253652.70987526</v>
      </c>
    </row>
    <row r="75" spans="2:8" x14ac:dyDescent="0.45">
      <c r="B75" s="38">
        <f>x_attainment-Sens_attainment+C75</f>
        <v>0.77500000000000002</v>
      </c>
      <c r="C75" s="39">
        <v>7.5000000000000067E-2</v>
      </c>
      <c r="D75" s="11">
        <v>125985015.32373202</v>
      </c>
      <c r="E75" s="11">
        <v>128196370.3154121</v>
      </c>
      <c r="F75" s="11">
        <v>130446691.43719098</v>
      </c>
      <c r="G75" s="11">
        <v>132736617.11722782</v>
      </c>
      <c r="H75" s="11">
        <v>135066795.27290803</v>
      </c>
    </row>
    <row r="76" spans="2:8" x14ac:dyDescent="0.45">
      <c r="B76" s="38">
        <f>x_attainment-Sens_attainment+C76</f>
        <v>0.85</v>
      </c>
      <c r="C76" s="39">
        <v>0.15</v>
      </c>
      <c r="D76" s="11">
        <v>128700732.32649225</v>
      </c>
      <c r="E76" s="11">
        <v>130936046.6764282</v>
      </c>
      <c r="F76" s="11">
        <v>133210589.87665641</v>
      </c>
      <c r="G76" s="11">
        <v>135525003.29901356</v>
      </c>
      <c r="H76" s="11">
        <v>137879937.8359409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Q109"/>
  <sheetViews>
    <sheetView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2" customWidth="1"/>
    <col min="2" max="2" width="44" customWidth="1"/>
    <col min="3" max="3" width="12" customWidth="1"/>
    <col min="4" max="4" width="13" customWidth="1"/>
    <col min="5" max="17" width="12.46484375" customWidth="1"/>
  </cols>
  <sheetData>
    <row r="1" spans="2:17" ht="18" x14ac:dyDescent="0.55000000000000004">
      <c r="B1" s="7" t="s">
        <v>436</v>
      </c>
    </row>
    <row r="2" spans="2:17" x14ac:dyDescent="0.45">
      <c r="B2" s="8" t="s">
        <v>437</v>
      </c>
    </row>
    <row r="3" spans="2:17" x14ac:dyDescent="0.45">
      <c r="B3" s="9" t="s">
        <v>438</v>
      </c>
      <c r="C3" s="9"/>
      <c r="D3" s="9"/>
      <c r="E3" s="41" t="s">
        <v>289</v>
      </c>
      <c r="F3" s="41" t="s">
        <v>290</v>
      </c>
      <c r="G3" s="41" t="s">
        <v>291</v>
      </c>
      <c r="H3" s="41" t="s">
        <v>292</v>
      </c>
      <c r="I3" s="41" t="s">
        <v>293</v>
      </c>
      <c r="J3" s="41" t="s">
        <v>294</v>
      </c>
      <c r="K3" s="41" t="s">
        <v>295</v>
      </c>
      <c r="L3" s="41" t="s">
        <v>296</v>
      </c>
      <c r="M3" s="41" t="s">
        <v>297</v>
      </c>
      <c r="N3" s="41" t="s">
        <v>298</v>
      </c>
      <c r="O3" s="41" t="s">
        <v>299</v>
      </c>
      <c r="P3" s="41" t="s">
        <v>300</v>
      </c>
      <c r="Q3" s="41" t="s">
        <v>439</v>
      </c>
    </row>
    <row r="4" spans="2:17" x14ac:dyDescent="0.45">
      <c r="E4" s="42">
        <v>1</v>
      </c>
      <c r="F4" s="42">
        <v>2</v>
      </c>
      <c r="G4" s="42">
        <v>3</v>
      </c>
      <c r="H4" s="42">
        <v>4</v>
      </c>
      <c r="I4" s="42">
        <v>5</v>
      </c>
      <c r="J4" s="42">
        <v>6</v>
      </c>
      <c r="K4" s="42">
        <v>7</v>
      </c>
      <c r="L4" s="42">
        <v>8</v>
      </c>
      <c r="M4" s="42">
        <v>9</v>
      </c>
      <c r="N4" s="42">
        <v>10</v>
      </c>
      <c r="O4" s="42">
        <v>11</v>
      </c>
      <c r="P4" s="42">
        <v>12</v>
      </c>
    </row>
    <row r="6" spans="2:17" x14ac:dyDescent="0.45">
      <c r="B6" s="4" t="s">
        <v>440</v>
      </c>
    </row>
    <row r="7" spans="2:17" x14ac:dyDescent="0.45">
      <c r="B7" t="s">
        <v>441</v>
      </c>
      <c r="C7" s="43" t="s">
        <v>302</v>
      </c>
      <c r="E7" s="36">
        <f>Inputs!L$48</f>
        <v>2</v>
      </c>
      <c r="F7" s="36">
        <f>Inputs!M$48</f>
        <v>2</v>
      </c>
      <c r="G7" s="36">
        <f>Inputs!N$48</f>
        <v>2</v>
      </c>
      <c r="H7" s="36">
        <f>Inputs!O$48</f>
        <v>1</v>
      </c>
      <c r="I7" s="36">
        <f>Inputs!P$48</f>
        <v>1</v>
      </c>
      <c r="J7" s="36">
        <f>Inputs!Q$48</f>
        <v>1</v>
      </c>
      <c r="K7" s="36">
        <f>Inputs!R$48</f>
        <v>1</v>
      </c>
      <c r="L7" s="36">
        <f>Inputs!S$48</f>
        <v>1</v>
      </c>
      <c r="M7" s="36">
        <f>Inputs!T$48</f>
        <v>1</v>
      </c>
      <c r="N7" s="36">
        <f>Inputs!U$48</f>
        <v>1</v>
      </c>
      <c r="O7" s="36">
        <f>Inputs!V$48</f>
        <v>1</v>
      </c>
      <c r="P7" s="36">
        <f>Inputs!W$48</f>
        <v>0</v>
      </c>
      <c r="Q7" s="44">
        <f>SUM(E7:P7)</f>
        <v>14</v>
      </c>
    </row>
    <row r="8" spans="2:17" x14ac:dyDescent="0.45">
      <c r="B8" t="s">
        <v>442</v>
      </c>
      <c r="E8" s="27">
        <f>MAX(1,1+x_delay)</f>
        <v>1</v>
      </c>
      <c r="F8" s="27">
        <f>MAX(1,2+x_delay)</f>
        <v>2</v>
      </c>
      <c r="G8" s="27">
        <f>MAX(1,3+x_delay)</f>
        <v>3</v>
      </c>
      <c r="H8" s="27">
        <f>MAX(1,4+x_delay)</f>
        <v>4</v>
      </c>
      <c r="I8" s="27">
        <f>MAX(1,5+x_delay)</f>
        <v>5</v>
      </c>
      <c r="J8" s="27">
        <f>MAX(1,6+x_delay)</f>
        <v>6</v>
      </c>
      <c r="K8" s="27">
        <f>MAX(1,7+x_delay)</f>
        <v>7</v>
      </c>
      <c r="L8" s="27">
        <f>MAX(1,8+x_delay)</f>
        <v>8</v>
      </c>
      <c r="M8" s="27">
        <f>MAX(1,9+x_delay)</f>
        <v>9</v>
      </c>
      <c r="N8" s="27">
        <f>MAX(1,10+x_delay)</f>
        <v>10</v>
      </c>
      <c r="O8" s="27">
        <f>MAX(1,11+x_delay)</f>
        <v>11</v>
      </c>
      <c r="P8" s="27">
        <f>MAX(1,12+x_delay)</f>
        <v>12</v>
      </c>
    </row>
    <row r="9" spans="2:17" x14ac:dyDescent="0.45">
      <c r="B9" t="s">
        <v>443</v>
      </c>
      <c r="E9" s="27">
        <f>MAX(1,1+x_delay+x_rdDelayMonths)</f>
        <v>1</v>
      </c>
      <c r="F9" s="27">
        <f>MAX(1,2+x_delay+x_rdDelayMonths)</f>
        <v>2</v>
      </c>
      <c r="G9" s="27">
        <f>MAX(1,3+x_delay+x_rdDelayMonths)</f>
        <v>3</v>
      </c>
      <c r="H9" s="27">
        <f>MAX(1,4+x_delay+x_rdDelayMonths)</f>
        <v>4</v>
      </c>
      <c r="I9" s="27">
        <f>MAX(1,5+x_delay+x_rdDelayMonths)</f>
        <v>5</v>
      </c>
      <c r="J9" s="27">
        <f>MAX(1,6+x_delay+x_rdDelayMonths)</f>
        <v>6</v>
      </c>
      <c r="K9" s="27">
        <f>MAX(1,7+x_delay+x_rdDelayMonths)</f>
        <v>7</v>
      </c>
      <c r="L9" s="27">
        <f>MAX(1,8+x_delay+x_rdDelayMonths)</f>
        <v>8</v>
      </c>
      <c r="M9" s="27">
        <f>MAX(1,9+x_delay+x_rdDelayMonths)</f>
        <v>9</v>
      </c>
      <c r="N9" s="27">
        <f>MAX(1,10+x_delay+x_rdDelayMonths)</f>
        <v>10</v>
      </c>
      <c r="O9" s="27">
        <f>MAX(1,11+x_delay+x_rdDelayMonths)</f>
        <v>11</v>
      </c>
      <c r="P9" s="27">
        <f>MAX(1,12+x_delay+x_rdDelayMonths)</f>
        <v>12</v>
      </c>
    </row>
    <row r="10" spans="2:17" x14ac:dyDescent="0.45">
      <c r="B10" s="4" t="s">
        <v>444</v>
      </c>
      <c r="C10" s="43" t="s">
        <v>302</v>
      </c>
      <c r="E10" s="44">
        <f t="shared" ref="E10:P10" si="0">(1-x_rdDelayShare)*SUMPRODUCT($E$7:$P$7,--($E$8:$P$8=E$4))+x_rdDelayShare*SUMPRODUCT($E$7:$P$7,--($E$9:$P$9=E$4))</f>
        <v>2</v>
      </c>
      <c r="F10" s="44">
        <f t="shared" si="0"/>
        <v>2</v>
      </c>
      <c r="G10" s="44">
        <f t="shared" si="0"/>
        <v>2</v>
      </c>
      <c r="H10" s="44">
        <f t="shared" si="0"/>
        <v>1</v>
      </c>
      <c r="I10" s="44">
        <f t="shared" si="0"/>
        <v>1</v>
      </c>
      <c r="J10" s="44">
        <f t="shared" si="0"/>
        <v>1</v>
      </c>
      <c r="K10" s="44">
        <f t="shared" si="0"/>
        <v>1</v>
      </c>
      <c r="L10" s="44">
        <f t="shared" si="0"/>
        <v>1</v>
      </c>
      <c r="M10" s="44">
        <f t="shared" si="0"/>
        <v>1</v>
      </c>
      <c r="N10" s="44">
        <f t="shared" si="0"/>
        <v>1</v>
      </c>
      <c r="O10" s="44">
        <f t="shared" si="0"/>
        <v>1</v>
      </c>
      <c r="P10" s="44">
        <f t="shared" si="0"/>
        <v>0</v>
      </c>
      <c r="Q10" s="44">
        <f>SUM(E10:P10)</f>
        <v>14</v>
      </c>
    </row>
    <row r="11" spans="2:17" x14ac:dyDescent="0.45">
      <c r="B11" t="s">
        <v>445</v>
      </c>
      <c r="Q11" s="36">
        <f>(1-x_rdDelayShare)*SUMPRODUCT($E$7:$P$7,--($E$8:$P$8&gt;12))+x_rdDelayShare*SUMPRODUCT($E$7:$P$7,--($E$9:$P$9&gt;12))</f>
        <v>0</v>
      </c>
    </row>
    <row r="13" spans="2:17" x14ac:dyDescent="0.45">
      <c r="B13" s="4" t="s">
        <v>446</v>
      </c>
    </row>
    <row r="14" spans="2:17" x14ac:dyDescent="0.45">
      <c r="B14" t="s">
        <v>441</v>
      </c>
      <c r="C14" s="43" t="s">
        <v>307</v>
      </c>
      <c r="E14" s="36">
        <f>Inputs!L$49</f>
        <v>1</v>
      </c>
      <c r="F14" s="36">
        <f>Inputs!M$49</f>
        <v>1</v>
      </c>
      <c r="G14" s="36">
        <f>Inputs!N$49</f>
        <v>1</v>
      </c>
      <c r="H14" s="36">
        <f>Inputs!O$49</f>
        <v>1</v>
      </c>
      <c r="I14" s="36">
        <f>Inputs!P$49</f>
        <v>1</v>
      </c>
      <c r="J14" s="36">
        <f>Inputs!Q$49</f>
        <v>1</v>
      </c>
      <c r="K14" s="36">
        <f>Inputs!R$49</f>
        <v>1</v>
      </c>
      <c r="L14" s="36">
        <f>Inputs!S$49</f>
        <v>1</v>
      </c>
      <c r="M14" s="36">
        <f>Inputs!T$49</f>
        <v>0</v>
      </c>
      <c r="N14" s="36">
        <f>Inputs!U$49</f>
        <v>0</v>
      </c>
      <c r="O14" s="36">
        <f>Inputs!V$49</f>
        <v>0</v>
      </c>
      <c r="P14" s="36">
        <f>Inputs!W$49</f>
        <v>0</v>
      </c>
      <c r="Q14" s="44">
        <f>SUM(E14:P14)</f>
        <v>8</v>
      </c>
    </row>
    <row r="15" spans="2:17" x14ac:dyDescent="0.45">
      <c r="B15" t="s">
        <v>442</v>
      </c>
      <c r="E15" s="27">
        <f>MAX(1,1+x_delay)</f>
        <v>1</v>
      </c>
      <c r="F15" s="27">
        <f>MAX(1,2+x_delay)</f>
        <v>2</v>
      </c>
      <c r="G15" s="27">
        <f>MAX(1,3+x_delay)</f>
        <v>3</v>
      </c>
      <c r="H15" s="27">
        <f>MAX(1,4+x_delay)</f>
        <v>4</v>
      </c>
      <c r="I15" s="27">
        <f>MAX(1,5+x_delay)</f>
        <v>5</v>
      </c>
      <c r="J15" s="27">
        <f>MAX(1,6+x_delay)</f>
        <v>6</v>
      </c>
      <c r="K15" s="27">
        <f>MAX(1,7+x_delay)</f>
        <v>7</v>
      </c>
      <c r="L15" s="27">
        <f>MAX(1,8+x_delay)</f>
        <v>8</v>
      </c>
      <c r="M15" s="27">
        <f>MAX(1,9+x_delay)</f>
        <v>9</v>
      </c>
      <c r="N15" s="27">
        <f>MAX(1,10+x_delay)</f>
        <v>10</v>
      </c>
      <c r="O15" s="27">
        <f>MAX(1,11+x_delay)</f>
        <v>11</v>
      </c>
      <c r="P15" s="27">
        <f>MAX(1,12+x_delay)</f>
        <v>12</v>
      </c>
    </row>
    <row r="16" spans="2:17" x14ac:dyDescent="0.45">
      <c r="B16" t="s">
        <v>443</v>
      </c>
      <c r="E16" s="27">
        <f>MAX(1,1+x_delay+x_rdDelayMonths)</f>
        <v>1</v>
      </c>
      <c r="F16" s="27">
        <f>MAX(1,2+x_delay+x_rdDelayMonths)</f>
        <v>2</v>
      </c>
      <c r="G16" s="27">
        <f>MAX(1,3+x_delay+x_rdDelayMonths)</f>
        <v>3</v>
      </c>
      <c r="H16" s="27">
        <f>MAX(1,4+x_delay+x_rdDelayMonths)</f>
        <v>4</v>
      </c>
      <c r="I16" s="27">
        <f>MAX(1,5+x_delay+x_rdDelayMonths)</f>
        <v>5</v>
      </c>
      <c r="J16" s="27">
        <f>MAX(1,6+x_delay+x_rdDelayMonths)</f>
        <v>6</v>
      </c>
      <c r="K16" s="27">
        <f>MAX(1,7+x_delay+x_rdDelayMonths)</f>
        <v>7</v>
      </c>
      <c r="L16" s="27">
        <f>MAX(1,8+x_delay+x_rdDelayMonths)</f>
        <v>8</v>
      </c>
      <c r="M16" s="27">
        <f>MAX(1,9+x_delay+x_rdDelayMonths)</f>
        <v>9</v>
      </c>
      <c r="N16" s="27">
        <f>MAX(1,10+x_delay+x_rdDelayMonths)</f>
        <v>10</v>
      </c>
      <c r="O16" s="27">
        <f>MAX(1,11+x_delay+x_rdDelayMonths)</f>
        <v>11</v>
      </c>
      <c r="P16" s="27">
        <f>MAX(1,12+x_delay+x_rdDelayMonths)</f>
        <v>12</v>
      </c>
    </row>
    <row r="17" spans="2:17" x14ac:dyDescent="0.45">
      <c r="B17" s="4" t="s">
        <v>444</v>
      </c>
      <c r="C17" s="43" t="s">
        <v>307</v>
      </c>
      <c r="E17" s="44">
        <f t="shared" ref="E17:P17" si="1">(1-x_rdDelayShare)*SUMPRODUCT($E$14:$P$14,--($E$15:$P$15=E$4))+x_rdDelayShare*SUMPRODUCT($E$14:$P$14,--($E$16:$P$16=E$4))</f>
        <v>1</v>
      </c>
      <c r="F17" s="44">
        <f t="shared" si="1"/>
        <v>1</v>
      </c>
      <c r="G17" s="44">
        <f t="shared" si="1"/>
        <v>1</v>
      </c>
      <c r="H17" s="44">
        <f t="shared" si="1"/>
        <v>1</v>
      </c>
      <c r="I17" s="44">
        <f t="shared" si="1"/>
        <v>1</v>
      </c>
      <c r="J17" s="44">
        <f t="shared" si="1"/>
        <v>1</v>
      </c>
      <c r="K17" s="44">
        <f t="shared" si="1"/>
        <v>1</v>
      </c>
      <c r="L17" s="44">
        <f t="shared" si="1"/>
        <v>1</v>
      </c>
      <c r="M17" s="44">
        <f t="shared" si="1"/>
        <v>0</v>
      </c>
      <c r="N17" s="44">
        <f t="shared" si="1"/>
        <v>0</v>
      </c>
      <c r="O17" s="44">
        <f t="shared" si="1"/>
        <v>0</v>
      </c>
      <c r="P17" s="44">
        <f t="shared" si="1"/>
        <v>0</v>
      </c>
      <c r="Q17" s="44">
        <f>SUM(E17:P17)</f>
        <v>8</v>
      </c>
    </row>
    <row r="18" spans="2:17" x14ac:dyDescent="0.45">
      <c r="B18" t="s">
        <v>445</v>
      </c>
      <c r="Q18" s="36">
        <f>(1-x_rdDelayShare)*SUMPRODUCT($E$14:$P$14,--($E$15:$P$15&gt;12))+x_rdDelayShare*SUMPRODUCT($E$14:$P$14,--($E$16:$P$16&gt;12))</f>
        <v>0</v>
      </c>
    </row>
    <row r="20" spans="2:17" x14ac:dyDescent="0.45">
      <c r="B20" s="4" t="s">
        <v>447</v>
      </c>
    </row>
    <row r="21" spans="2:17" x14ac:dyDescent="0.45">
      <c r="B21" t="s">
        <v>441</v>
      </c>
      <c r="C21" s="43" t="s">
        <v>310</v>
      </c>
      <c r="E21" s="36">
        <f>Inputs!L$50</f>
        <v>0</v>
      </c>
      <c r="F21" s="36">
        <f>Inputs!M$50</f>
        <v>1</v>
      </c>
      <c r="G21" s="36">
        <f>Inputs!N$50</f>
        <v>0</v>
      </c>
      <c r="H21" s="36">
        <f>Inputs!O$50</f>
        <v>0</v>
      </c>
      <c r="I21" s="36">
        <f>Inputs!P$50</f>
        <v>0</v>
      </c>
      <c r="J21" s="36">
        <f>Inputs!Q$50</f>
        <v>0</v>
      </c>
      <c r="K21" s="36">
        <f>Inputs!R$50</f>
        <v>1</v>
      </c>
      <c r="L21" s="36">
        <f>Inputs!S$50</f>
        <v>0</v>
      </c>
      <c r="M21" s="36">
        <f>Inputs!T$50</f>
        <v>0</v>
      </c>
      <c r="N21" s="36">
        <f>Inputs!U$50</f>
        <v>0</v>
      </c>
      <c r="O21" s="36">
        <f>Inputs!V$50</f>
        <v>0</v>
      </c>
      <c r="P21" s="36">
        <f>Inputs!W$50</f>
        <v>0</v>
      </c>
      <c r="Q21" s="44">
        <f>SUM(E21:P21)</f>
        <v>2</v>
      </c>
    </row>
    <row r="22" spans="2:17" x14ac:dyDescent="0.45">
      <c r="B22" t="s">
        <v>442</v>
      </c>
      <c r="E22" s="27">
        <f>MAX(1,1+x_delay)</f>
        <v>1</v>
      </c>
      <c r="F22" s="27">
        <f>MAX(1,2+x_delay)</f>
        <v>2</v>
      </c>
      <c r="G22" s="27">
        <f>MAX(1,3+x_delay)</f>
        <v>3</v>
      </c>
      <c r="H22" s="27">
        <f>MAX(1,4+x_delay)</f>
        <v>4</v>
      </c>
      <c r="I22" s="27">
        <f>MAX(1,5+x_delay)</f>
        <v>5</v>
      </c>
      <c r="J22" s="27">
        <f>MAX(1,6+x_delay)</f>
        <v>6</v>
      </c>
      <c r="K22" s="27">
        <f>MAX(1,7+x_delay)</f>
        <v>7</v>
      </c>
      <c r="L22" s="27">
        <f>MAX(1,8+x_delay)</f>
        <v>8</v>
      </c>
      <c r="M22" s="27">
        <f>MAX(1,9+x_delay)</f>
        <v>9</v>
      </c>
      <c r="N22" s="27">
        <f>MAX(1,10+x_delay)</f>
        <v>10</v>
      </c>
      <c r="O22" s="27">
        <f>MAX(1,11+x_delay)</f>
        <v>11</v>
      </c>
      <c r="P22" s="27">
        <f>MAX(1,12+x_delay)</f>
        <v>12</v>
      </c>
    </row>
    <row r="23" spans="2:17" x14ac:dyDescent="0.45">
      <c r="B23" t="s">
        <v>443</v>
      </c>
      <c r="E23" s="27">
        <f>MAX(1,1+x_delay+x_rdDelayMonths)</f>
        <v>1</v>
      </c>
      <c r="F23" s="27">
        <f>MAX(1,2+x_delay+x_rdDelayMonths)</f>
        <v>2</v>
      </c>
      <c r="G23" s="27">
        <f>MAX(1,3+x_delay+x_rdDelayMonths)</f>
        <v>3</v>
      </c>
      <c r="H23" s="27">
        <f>MAX(1,4+x_delay+x_rdDelayMonths)</f>
        <v>4</v>
      </c>
      <c r="I23" s="27">
        <f>MAX(1,5+x_delay+x_rdDelayMonths)</f>
        <v>5</v>
      </c>
      <c r="J23" s="27">
        <f>MAX(1,6+x_delay+x_rdDelayMonths)</f>
        <v>6</v>
      </c>
      <c r="K23" s="27">
        <f>MAX(1,7+x_delay+x_rdDelayMonths)</f>
        <v>7</v>
      </c>
      <c r="L23" s="27">
        <f>MAX(1,8+x_delay+x_rdDelayMonths)</f>
        <v>8</v>
      </c>
      <c r="M23" s="27">
        <f>MAX(1,9+x_delay+x_rdDelayMonths)</f>
        <v>9</v>
      </c>
      <c r="N23" s="27">
        <f>MAX(1,10+x_delay+x_rdDelayMonths)</f>
        <v>10</v>
      </c>
      <c r="O23" s="27">
        <f>MAX(1,11+x_delay+x_rdDelayMonths)</f>
        <v>11</v>
      </c>
      <c r="P23" s="27">
        <f>MAX(1,12+x_delay+x_rdDelayMonths)</f>
        <v>12</v>
      </c>
    </row>
    <row r="24" spans="2:17" x14ac:dyDescent="0.45">
      <c r="B24" s="4" t="s">
        <v>444</v>
      </c>
      <c r="C24" s="43" t="s">
        <v>310</v>
      </c>
      <c r="E24" s="44">
        <f t="shared" ref="E24:P24" si="2">(1-x_rdDelayShare)*SUMPRODUCT($E$21:$P$21,--($E$22:$P$22=E$4))+x_rdDelayShare*SUMPRODUCT($E$21:$P$21,--($E$23:$P$23=E$4))</f>
        <v>0</v>
      </c>
      <c r="F24" s="44">
        <f t="shared" si="2"/>
        <v>1</v>
      </c>
      <c r="G24" s="44">
        <f t="shared" si="2"/>
        <v>0</v>
      </c>
      <c r="H24" s="44">
        <f t="shared" si="2"/>
        <v>0</v>
      </c>
      <c r="I24" s="44">
        <f t="shared" si="2"/>
        <v>0</v>
      </c>
      <c r="J24" s="44">
        <f t="shared" si="2"/>
        <v>0</v>
      </c>
      <c r="K24" s="44">
        <f t="shared" si="2"/>
        <v>1</v>
      </c>
      <c r="L24" s="44">
        <f t="shared" si="2"/>
        <v>0</v>
      </c>
      <c r="M24" s="44">
        <f t="shared" si="2"/>
        <v>0</v>
      </c>
      <c r="N24" s="44">
        <f t="shared" si="2"/>
        <v>0</v>
      </c>
      <c r="O24" s="44">
        <f t="shared" si="2"/>
        <v>0</v>
      </c>
      <c r="P24" s="44">
        <f t="shared" si="2"/>
        <v>0</v>
      </c>
      <c r="Q24" s="44">
        <f>SUM(E24:P24)</f>
        <v>2</v>
      </c>
    </row>
    <row r="25" spans="2:17" x14ac:dyDescent="0.45">
      <c r="B25" t="s">
        <v>445</v>
      </c>
      <c r="Q25" s="36">
        <f>(1-x_rdDelayShare)*SUMPRODUCT($E$21:$P$21,--($E$22:$P$22&gt;12))+x_rdDelayShare*SUMPRODUCT($E$21:$P$21,--($E$23:$P$23&gt;12))</f>
        <v>0</v>
      </c>
    </row>
    <row r="27" spans="2:17" x14ac:dyDescent="0.45">
      <c r="B27" s="4" t="s">
        <v>448</v>
      </c>
    </row>
    <row r="28" spans="2:17" x14ac:dyDescent="0.45">
      <c r="B28" t="s">
        <v>441</v>
      </c>
      <c r="C28" s="43" t="s">
        <v>313</v>
      </c>
      <c r="E28" s="36">
        <f>Inputs!L$51</f>
        <v>1</v>
      </c>
      <c r="F28" s="36">
        <f>Inputs!M$51</f>
        <v>0</v>
      </c>
      <c r="G28" s="36">
        <f>Inputs!N$51</f>
        <v>0</v>
      </c>
      <c r="H28" s="36">
        <f>Inputs!O$51</f>
        <v>1</v>
      </c>
      <c r="I28" s="36">
        <f>Inputs!P$51</f>
        <v>0</v>
      </c>
      <c r="J28" s="36">
        <f>Inputs!Q$51</f>
        <v>0</v>
      </c>
      <c r="K28" s="36">
        <f>Inputs!R$51</f>
        <v>1</v>
      </c>
      <c r="L28" s="36">
        <f>Inputs!S$51</f>
        <v>0</v>
      </c>
      <c r="M28" s="36">
        <f>Inputs!T$51</f>
        <v>0</v>
      </c>
      <c r="N28" s="36">
        <f>Inputs!U$51</f>
        <v>1</v>
      </c>
      <c r="O28" s="36">
        <f>Inputs!V$51</f>
        <v>0</v>
      </c>
      <c r="P28" s="36">
        <f>Inputs!W$51</f>
        <v>0</v>
      </c>
      <c r="Q28" s="44">
        <f>SUM(E28:P28)</f>
        <v>4</v>
      </c>
    </row>
    <row r="29" spans="2:17" x14ac:dyDescent="0.45">
      <c r="B29" t="s">
        <v>442</v>
      </c>
      <c r="E29" s="27">
        <f>MAX(1,1+x_delay)</f>
        <v>1</v>
      </c>
      <c r="F29" s="27">
        <f>MAX(1,2+x_delay)</f>
        <v>2</v>
      </c>
      <c r="G29" s="27">
        <f>MAX(1,3+x_delay)</f>
        <v>3</v>
      </c>
      <c r="H29" s="27">
        <f>MAX(1,4+x_delay)</f>
        <v>4</v>
      </c>
      <c r="I29" s="27">
        <f>MAX(1,5+x_delay)</f>
        <v>5</v>
      </c>
      <c r="J29" s="27">
        <f>MAX(1,6+x_delay)</f>
        <v>6</v>
      </c>
      <c r="K29" s="27">
        <f>MAX(1,7+x_delay)</f>
        <v>7</v>
      </c>
      <c r="L29" s="27">
        <f>MAX(1,8+x_delay)</f>
        <v>8</v>
      </c>
      <c r="M29" s="27">
        <f>MAX(1,9+x_delay)</f>
        <v>9</v>
      </c>
      <c r="N29" s="27">
        <f>MAX(1,10+x_delay)</f>
        <v>10</v>
      </c>
      <c r="O29" s="27">
        <f>MAX(1,11+x_delay)</f>
        <v>11</v>
      </c>
      <c r="P29" s="27">
        <f>MAX(1,12+x_delay)</f>
        <v>12</v>
      </c>
    </row>
    <row r="30" spans="2:17" x14ac:dyDescent="0.45">
      <c r="B30" t="s">
        <v>443</v>
      </c>
      <c r="E30" s="27">
        <f>MAX(1,1+x_delay+x_rdDelayMonths)</f>
        <v>1</v>
      </c>
      <c r="F30" s="27">
        <f>MAX(1,2+x_delay+x_rdDelayMonths)</f>
        <v>2</v>
      </c>
      <c r="G30" s="27">
        <f>MAX(1,3+x_delay+x_rdDelayMonths)</f>
        <v>3</v>
      </c>
      <c r="H30" s="27">
        <f>MAX(1,4+x_delay+x_rdDelayMonths)</f>
        <v>4</v>
      </c>
      <c r="I30" s="27">
        <f>MAX(1,5+x_delay+x_rdDelayMonths)</f>
        <v>5</v>
      </c>
      <c r="J30" s="27">
        <f>MAX(1,6+x_delay+x_rdDelayMonths)</f>
        <v>6</v>
      </c>
      <c r="K30" s="27">
        <f>MAX(1,7+x_delay+x_rdDelayMonths)</f>
        <v>7</v>
      </c>
      <c r="L30" s="27">
        <f>MAX(1,8+x_delay+x_rdDelayMonths)</f>
        <v>8</v>
      </c>
      <c r="M30" s="27">
        <f>MAX(1,9+x_delay+x_rdDelayMonths)</f>
        <v>9</v>
      </c>
      <c r="N30" s="27">
        <f>MAX(1,10+x_delay+x_rdDelayMonths)</f>
        <v>10</v>
      </c>
      <c r="O30" s="27">
        <f>MAX(1,11+x_delay+x_rdDelayMonths)</f>
        <v>11</v>
      </c>
      <c r="P30" s="27">
        <f>MAX(1,12+x_delay+x_rdDelayMonths)</f>
        <v>12</v>
      </c>
    </row>
    <row r="31" spans="2:17" x14ac:dyDescent="0.45">
      <c r="B31" s="4" t="s">
        <v>444</v>
      </c>
      <c r="C31" s="43" t="s">
        <v>313</v>
      </c>
      <c r="E31" s="44">
        <f t="shared" ref="E31:P31" si="3">(1-0)*SUMPRODUCT($E$28:$P$28,--($E$29:$P$29=E$4))+0*SUMPRODUCT($E$28:$P$28,--($E$30:$P$30=E$4))</f>
        <v>1</v>
      </c>
      <c r="F31" s="44">
        <f t="shared" si="3"/>
        <v>0</v>
      </c>
      <c r="G31" s="44">
        <f t="shared" si="3"/>
        <v>0</v>
      </c>
      <c r="H31" s="44">
        <f t="shared" si="3"/>
        <v>1</v>
      </c>
      <c r="I31" s="44">
        <f t="shared" si="3"/>
        <v>0</v>
      </c>
      <c r="J31" s="44">
        <f t="shared" si="3"/>
        <v>0</v>
      </c>
      <c r="K31" s="44">
        <f t="shared" si="3"/>
        <v>1</v>
      </c>
      <c r="L31" s="44">
        <f t="shared" si="3"/>
        <v>0</v>
      </c>
      <c r="M31" s="44">
        <f t="shared" si="3"/>
        <v>0</v>
      </c>
      <c r="N31" s="44">
        <f t="shared" si="3"/>
        <v>1</v>
      </c>
      <c r="O31" s="44">
        <f t="shared" si="3"/>
        <v>0</v>
      </c>
      <c r="P31" s="44">
        <f t="shared" si="3"/>
        <v>0</v>
      </c>
      <c r="Q31" s="44">
        <f>SUM(E31:P31)</f>
        <v>4</v>
      </c>
    </row>
    <row r="32" spans="2:17" x14ac:dyDescent="0.45">
      <c r="B32" t="s">
        <v>445</v>
      </c>
      <c r="Q32" s="36">
        <f>(1-0)*SUMPRODUCT($E$28:$P$28,--($E$29:$P$29&gt;12))+0*SUMPRODUCT($E$28:$P$28,--($E$30:$P$30&gt;12))</f>
        <v>0</v>
      </c>
    </row>
    <row r="34" spans="2:17" x14ac:dyDescent="0.45">
      <c r="B34" s="4" t="s">
        <v>449</v>
      </c>
    </row>
    <row r="35" spans="2:17" x14ac:dyDescent="0.45">
      <c r="B35" t="s">
        <v>441</v>
      </c>
      <c r="C35" s="43" t="s">
        <v>317</v>
      </c>
      <c r="E35" s="36">
        <f>Inputs!L$52</f>
        <v>2</v>
      </c>
      <c r="F35" s="36">
        <f>Inputs!M$52</f>
        <v>1</v>
      </c>
      <c r="G35" s="36">
        <f>Inputs!N$52</f>
        <v>1</v>
      </c>
      <c r="H35" s="36">
        <f>Inputs!O$52</f>
        <v>2</v>
      </c>
      <c r="I35" s="36">
        <f>Inputs!P$52</f>
        <v>1</v>
      </c>
      <c r="J35" s="36">
        <f>Inputs!Q$52</f>
        <v>1</v>
      </c>
      <c r="K35" s="36">
        <f>Inputs!R$52</f>
        <v>1</v>
      </c>
      <c r="L35" s="36">
        <f>Inputs!S$52</f>
        <v>1</v>
      </c>
      <c r="M35" s="36">
        <f>Inputs!T$52</f>
        <v>1</v>
      </c>
      <c r="N35" s="36">
        <f>Inputs!U$52</f>
        <v>1</v>
      </c>
      <c r="O35" s="36">
        <f>Inputs!V$52</f>
        <v>0</v>
      </c>
      <c r="P35" s="36">
        <f>Inputs!W$52</f>
        <v>0</v>
      </c>
      <c r="Q35" s="44">
        <f>SUM(E35:P35)</f>
        <v>12</v>
      </c>
    </row>
    <row r="36" spans="2:17" x14ac:dyDescent="0.45">
      <c r="B36" t="s">
        <v>442</v>
      </c>
      <c r="E36" s="27">
        <f>MAX(1,MAX(1,1-x_aePull)+x_delay)</f>
        <v>1</v>
      </c>
      <c r="F36" s="27">
        <f>MAX(1,MAX(1,2-x_aePull)+x_delay)</f>
        <v>2</v>
      </c>
      <c r="G36" s="27">
        <f>MAX(1,MAX(1,3-x_aePull)+x_delay)</f>
        <v>3</v>
      </c>
      <c r="H36" s="27">
        <f>MAX(1,MAX(1,4-x_aePull)+x_delay)</f>
        <v>4</v>
      </c>
      <c r="I36" s="27">
        <f>MAX(1,MAX(1,5-x_aePull)+x_delay)</f>
        <v>5</v>
      </c>
      <c r="J36" s="27">
        <f>MAX(1,MAX(1,6-x_aePull)+x_delay)</f>
        <v>6</v>
      </c>
      <c r="K36" s="27">
        <f>MAX(1,MAX(1,7-x_aePull)+x_delay)</f>
        <v>7</v>
      </c>
      <c r="L36" s="27">
        <f>MAX(1,MAX(1,8-x_aePull)+x_delay)</f>
        <v>8</v>
      </c>
      <c r="M36" s="27">
        <f>MAX(1,MAX(1,9-x_aePull)+x_delay)</f>
        <v>9</v>
      </c>
      <c r="N36" s="27">
        <f>MAX(1,MAX(1,10-x_aePull)+x_delay)</f>
        <v>10</v>
      </c>
      <c r="O36" s="27">
        <f>MAX(1,MAX(1,11-x_aePull)+x_delay)</f>
        <v>11</v>
      </c>
      <c r="P36" s="27">
        <f>MAX(1,MAX(1,12-x_aePull)+x_delay)</f>
        <v>12</v>
      </c>
    </row>
    <row r="37" spans="2:17" x14ac:dyDescent="0.45">
      <c r="B37" t="s">
        <v>443</v>
      </c>
      <c r="E37" s="27">
        <f>MAX(1,MAX(1,1-x_aePull)+x_delay+x_rdDelayMonths)</f>
        <v>1</v>
      </c>
      <c r="F37" s="27">
        <f>MAX(1,MAX(1,2-x_aePull)+x_delay+x_rdDelayMonths)</f>
        <v>2</v>
      </c>
      <c r="G37" s="27">
        <f>MAX(1,MAX(1,3-x_aePull)+x_delay+x_rdDelayMonths)</f>
        <v>3</v>
      </c>
      <c r="H37" s="27">
        <f>MAX(1,MAX(1,4-x_aePull)+x_delay+x_rdDelayMonths)</f>
        <v>4</v>
      </c>
      <c r="I37" s="27">
        <f>MAX(1,MAX(1,5-x_aePull)+x_delay+x_rdDelayMonths)</f>
        <v>5</v>
      </c>
      <c r="J37" s="27">
        <f>MAX(1,MAX(1,6-x_aePull)+x_delay+x_rdDelayMonths)</f>
        <v>6</v>
      </c>
      <c r="K37" s="27">
        <f>MAX(1,MAX(1,7-x_aePull)+x_delay+x_rdDelayMonths)</f>
        <v>7</v>
      </c>
      <c r="L37" s="27">
        <f>MAX(1,MAX(1,8-x_aePull)+x_delay+x_rdDelayMonths)</f>
        <v>8</v>
      </c>
      <c r="M37" s="27">
        <f>MAX(1,MAX(1,9-x_aePull)+x_delay+x_rdDelayMonths)</f>
        <v>9</v>
      </c>
      <c r="N37" s="27">
        <f>MAX(1,MAX(1,10-x_aePull)+x_delay+x_rdDelayMonths)</f>
        <v>10</v>
      </c>
      <c r="O37" s="27">
        <f>MAX(1,MAX(1,11-x_aePull)+x_delay+x_rdDelayMonths)</f>
        <v>11</v>
      </c>
      <c r="P37" s="27">
        <f>MAX(1,MAX(1,12-x_aePull)+x_delay+x_rdDelayMonths)</f>
        <v>12</v>
      </c>
    </row>
    <row r="38" spans="2:17" x14ac:dyDescent="0.45">
      <c r="B38" s="4" t="s">
        <v>444</v>
      </c>
      <c r="C38" s="43" t="s">
        <v>317</v>
      </c>
      <c r="E38" s="44">
        <f t="shared" ref="E38:P38" si="4">(1-0)*SUMPRODUCT($E$35:$P$35,--($E$36:$P$36=E$4))+0*SUMPRODUCT($E$35:$P$35,--($E$37:$P$37=E$4))</f>
        <v>2</v>
      </c>
      <c r="F38" s="44">
        <f t="shared" si="4"/>
        <v>1</v>
      </c>
      <c r="G38" s="44">
        <f t="shared" si="4"/>
        <v>1</v>
      </c>
      <c r="H38" s="44">
        <f t="shared" si="4"/>
        <v>2</v>
      </c>
      <c r="I38" s="44">
        <f t="shared" si="4"/>
        <v>1</v>
      </c>
      <c r="J38" s="44">
        <f t="shared" si="4"/>
        <v>1</v>
      </c>
      <c r="K38" s="44">
        <f t="shared" si="4"/>
        <v>1</v>
      </c>
      <c r="L38" s="44">
        <f t="shared" si="4"/>
        <v>1</v>
      </c>
      <c r="M38" s="44">
        <f t="shared" si="4"/>
        <v>1</v>
      </c>
      <c r="N38" s="44">
        <f t="shared" si="4"/>
        <v>1</v>
      </c>
      <c r="O38" s="44">
        <f t="shared" si="4"/>
        <v>0</v>
      </c>
      <c r="P38" s="44">
        <f t="shared" si="4"/>
        <v>0</v>
      </c>
      <c r="Q38" s="44">
        <f>SUM(E38:P38)</f>
        <v>12</v>
      </c>
    </row>
    <row r="39" spans="2:17" x14ac:dyDescent="0.45">
      <c r="B39" t="s">
        <v>445</v>
      </c>
      <c r="Q39" s="36">
        <f>(1-0)*SUMPRODUCT($E$35:$P$35,--($E$36:$P$36&gt;12))+0*SUMPRODUCT($E$35:$P$35,--($E$37:$P$37&gt;12))</f>
        <v>0</v>
      </c>
    </row>
    <row r="41" spans="2:17" x14ac:dyDescent="0.45">
      <c r="B41" s="4" t="s">
        <v>450</v>
      </c>
    </row>
    <row r="42" spans="2:17" x14ac:dyDescent="0.45">
      <c r="B42" t="s">
        <v>441</v>
      </c>
      <c r="C42" s="43" t="s">
        <v>320</v>
      </c>
      <c r="E42" s="36">
        <f>Inputs!L$53</f>
        <v>0</v>
      </c>
      <c r="F42" s="36">
        <f>Inputs!M$53</f>
        <v>0</v>
      </c>
      <c r="G42" s="36">
        <f>Inputs!N$53</f>
        <v>1</v>
      </c>
      <c r="H42" s="36">
        <f>Inputs!O$53</f>
        <v>0</v>
      </c>
      <c r="I42" s="36">
        <f>Inputs!P$53</f>
        <v>0</v>
      </c>
      <c r="J42" s="36">
        <f>Inputs!Q$53</f>
        <v>0</v>
      </c>
      <c r="K42" s="36">
        <f>Inputs!R$53</f>
        <v>0</v>
      </c>
      <c r="L42" s="36">
        <f>Inputs!S$53</f>
        <v>0</v>
      </c>
      <c r="M42" s="36">
        <f>Inputs!T$53</f>
        <v>1</v>
      </c>
      <c r="N42" s="36">
        <f>Inputs!U$53</f>
        <v>0</v>
      </c>
      <c r="O42" s="36">
        <f>Inputs!V$53</f>
        <v>0</v>
      </c>
      <c r="P42" s="36">
        <f>Inputs!W$53</f>
        <v>0</v>
      </c>
      <c r="Q42" s="44">
        <f>SUM(E42:P42)</f>
        <v>2</v>
      </c>
    </row>
    <row r="43" spans="2:17" x14ac:dyDescent="0.45">
      <c r="B43" t="s">
        <v>442</v>
      </c>
      <c r="E43" s="27">
        <f>MAX(1,1+x_delay)</f>
        <v>1</v>
      </c>
      <c r="F43" s="27">
        <f>MAX(1,2+x_delay)</f>
        <v>2</v>
      </c>
      <c r="G43" s="27">
        <f>MAX(1,3+x_delay)</f>
        <v>3</v>
      </c>
      <c r="H43" s="27">
        <f>MAX(1,4+x_delay)</f>
        <v>4</v>
      </c>
      <c r="I43" s="27">
        <f>MAX(1,5+x_delay)</f>
        <v>5</v>
      </c>
      <c r="J43" s="27">
        <f>MAX(1,6+x_delay)</f>
        <v>6</v>
      </c>
      <c r="K43" s="27">
        <f>MAX(1,7+x_delay)</f>
        <v>7</v>
      </c>
      <c r="L43" s="27">
        <f>MAX(1,8+x_delay)</f>
        <v>8</v>
      </c>
      <c r="M43" s="27">
        <f>MAX(1,9+x_delay)</f>
        <v>9</v>
      </c>
      <c r="N43" s="27">
        <f>MAX(1,10+x_delay)</f>
        <v>10</v>
      </c>
      <c r="O43" s="27">
        <f>MAX(1,11+x_delay)</f>
        <v>11</v>
      </c>
      <c r="P43" s="27">
        <f>MAX(1,12+x_delay)</f>
        <v>12</v>
      </c>
    </row>
    <row r="44" spans="2:17" x14ac:dyDescent="0.45">
      <c r="B44" t="s">
        <v>443</v>
      </c>
      <c r="E44" s="27">
        <f>MAX(1,1+x_delay+x_rdDelayMonths)</f>
        <v>1</v>
      </c>
      <c r="F44" s="27">
        <f>MAX(1,2+x_delay+x_rdDelayMonths)</f>
        <v>2</v>
      </c>
      <c r="G44" s="27">
        <f>MAX(1,3+x_delay+x_rdDelayMonths)</f>
        <v>3</v>
      </c>
      <c r="H44" s="27">
        <f>MAX(1,4+x_delay+x_rdDelayMonths)</f>
        <v>4</v>
      </c>
      <c r="I44" s="27">
        <f>MAX(1,5+x_delay+x_rdDelayMonths)</f>
        <v>5</v>
      </c>
      <c r="J44" s="27">
        <f>MAX(1,6+x_delay+x_rdDelayMonths)</f>
        <v>6</v>
      </c>
      <c r="K44" s="27">
        <f>MAX(1,7+x_delay+x_rdDelayMonths)</f>
        <v>7</v>
      </c>
      <c r="L44" s="27">
        <f>MAX(1,8+x_delay+x_rdDelayMonths)</f>
        <v>8</v>
      </c>
      <c r="M44" s="27">
        <f>MAX(1,9+x_delay+x_rdDelayMonths)</f>
        <v>9</v>
      </c>
      <c r="N44" s="27">
        <f>MAX(1,10+x_delay+x_rdDelayMonths)</f>
        <v>10</v>
      </c>
      <c r="O44" s="27">
        <f>MAX(1,11+x_delay+x_rdDelayMonths)</f>
        <v>11</v>
      </c>
      <c r="P44" s="27">
        <f>MAX(1,12+x_delay+x_rdDelayMonths)</f>
        <v>12</v>
      </c>
    </row>
    <row r="45" spans="2:17" x14ac:dyDescent="0.45">
      <c r="B45" s="4" t="s">
        <v>444</v>
      </c>
      <c r="C45" s="43" t="s">
        <v>320</v>
      </c>
      <c r="E45" s="44">
        <f t="shared" ref="E45:P45" si="5">(1-0)*SUMPRODUCT($E$42:$P$42,--($E$43:$P$43=E$4))+0*SUMPRODUCT($E$42:$P$42,--($E$44:$P$44=E$4))</f>
        <v>0</v>
      </c>
      <c r="F45" s="44">
        <f t="shared" si="5"/>
        <v>0</v>
      </c>
      <c r="G45" s="44">
        <f t="shared" si="5"/>
        <v>1</v>
      </c>
      <c r="H45" s="44">
        <f t="shared" si="5"/>
        <v>0</v>
      </c>
      <c r="I45" s="44">
        <f t="shared" si="5"/>
        <v>0</v>
      </c>
      <c r="J45" s="44">
        <f t="shared" si="5"/>
        <v>0</v>
      </c>
      <c r="K45" s="44">
        <f t="shared" si="5"/>
        <v>0</v>
      </c>
      <c r="L45" s="44">
        <f t="shared" si="5"/>
        <v>0</v>
      </c>
      <c r="M45" s="44">
        <f t="shared" si="5"/>
        <v>1</v>
      </c>
      <c r="N45" s="44">
        <f t="shared" si="5"/>
        <v>0</v>
      </c>
      <c r="O45" s="44">
        <f t="shared" si="5"/>
        <v>0</v>
      </c>
      <c r="P45" s="44">
        <f t="shared" si="5"/>
        <v>0</v>
      </c>
      <c r="Q45" s="44">
        <f>SUM(E45:P45)</f>
        <v>2</v>
      </c>
    </row>
    <row r="46" spans="2:17" x14ac:dyDescent="0.45">
      <c r="B46" t="s">
        <v>445</v>
      </c>
      <c r="Q46" s="36">
        <f>(1-0)*SUMPRODUCT($E$42:$P$42,--($E$43:$P$43&gt;12))+0*SUMPRODUCT($E$42:$P$42,--($E$44:$P$44&gt;12))</f>
        <v>0</v>
      </c>
    </row>
    <row r="48" spans="2:17" x14ac:dyDescent="0.45">
      <c r="B48" s="4" t="s">
        <v>451</v>
      </c>
    </row>
    <row r="49" spans="2:17" x14ac:dyDescent="0.45">
      <c r="B49" t="s">
        <v>441</v>
      </c>
      <c r="C49" s="43" t="s">
        <v>323</v>
      </c>
      <c r="E49" s="36">
        <f>Inputs!L$54</f>
        <v>1</v>
      </c>
      <c r="F49" s="36">
        <f>Inputs!M$54</f>
        <v>0</v>
      </c>
      <c r="G49" s="36">
        <f>Inputs!N$54</f>
        <v>0</v>
      </c>
      <c r="H49" s="36">
        <f>Inputs!O$54</f>
        <v>1</v>
      </c>
      <c r="I49" s="36">
        <f>Inputs!P$54</f>
        <v>0</v>
      </c>
      <c r="J49" s="36">
        <f>Inputs!Q$54</f>
        <v>0</v>
      </c>
      <c r="K49" s="36">
        <f>Inputs!R$54</f>
        <v>1</v>
      </c>
      <c r="L49" s="36">
        <f>Inputs!S$54</f>
        <v>0</v>
      </c>
      <c r="M49" s="36">
        <f>Inputs!T$54</f>
        <v>0</v>
      </c>
      <c r="N49" s="36">
        <f>Inputs!U$54</f>
        <v>0</v>
      </c>
      <c r="O49" s="36">
        <f>Inputs!V$54</f>
        <v>0</v>
      </c>
      <c r="P49" s="36">
        <f>Inputs!W$54</f>
        <v>0</v>
      </c>
      <c r="Q49" s="44">
        <f>SUM(E49:P49)</f>
        <v>3</v>
      </c>
    </row>
    <row r="50" spans="2:17" x14ac:dyDescent="0.45">
      <c r="B50" t="s">
        <v>442</v>
      </c>
      <c r="E50" s="27">
        <f>MAX(1,1+x_delay)</f>
        <v>1</v>
      </c>
      <c r="F50" s="27">
        <f>MAX(1,2+x_delay)</f>
        <v>2</v>
      </c>
      <c r="G50" s="27">
        <f>MAX(1,3+x_delay)</f>
        <v>3</v>
      </c>
      <c r="H50" s="27">
        <f>MAX(1,4+x_delay)</f>
        <v>4</v>
      </c>
      <c r="I50" s="27">
        <f>MAX(1,5+x_delay)</f>
        <v>5</v>
      </c>
      <c r="J50" s="27">
        <f>MAX(1,6+x_delay)</f>
        <v>6</v>
      </c>
      <c r="K50" s="27">
        <f>MAX(1,7+x_delay)</f>
        <v>7</v>
      </c>
      <c r="L50" s="27">
        <f>MAX(1,8+x_delay)</f>
        <v>8</v>
      </c>
      <c r="M50" s="27">
        <f>MAX(1,9+x_delay)</f>
        <v>9</v>
      </c>
      <c r="N50" s="27">
        <f>MAX(1,10+x_delay)</f>
        <v>10</v>
      </c>
      <c r="O50" s="27">
        <f>MAX(1,11+x_delay)</f>
        <v>11</v>
      </c>
      <c r="P50" s="27">
        <f>MAX(1,12+x_delay)</f>
        <v>12</v>
      </c>
    </row>
    <row r="51" spans="2:17" x14ac:dyDescent="0.45">
      <c r="B51" t="s">
        <v>443</v>
      </c>
      <c r="E51" s="27">
        <f>MAX(1,1+x_delay+x_rdDelayMonths)</f>
        <v>1</v>
      </c>
      <c r="F51" s="27">
        <f>MAX(1,2+x_delay+x_rdDelayMonths)</f>
        <v>2</v>
      </c>
      <c r="G51" s="27">
        <f>MAX(1,3+x_delay+x_rdDelayMonths)</f>
        <v>3</v>
      </c>
      <c r="H51" s="27">
        <f>MAX(1,4+x_delay+x_rdDelayMonths)</f>
        <v>4</v>
      </c>
      <c r="I51" s="27">
        <f>MAX(1,5+x_delay+x_rdDelayMonths)</f>
        <v>5</v>
      </c>
      <c r="J51" s="27">
        <f>MAX(1,6+x_delay+x_rdDelayMonths)</f>
        <v>6</v>
      </c>
      <c r="K51" s="27">
        <f>MAX(1,7+x_delay+x_rdDelayMonths)</f>
        <v>7</v>
      </c>
      <c r="L51" s="27">
        <f>MAX(1,8+x_delay+x_rdDelayMonths)</f>
        <v>8</v>
      </c>
      <c r="M51" s="27">
        <f>MAX(1,9+x_delay+x_rdDelayMonths)</f>
        <v>9</v>
      </c>
      <c r="N51" s="27">
        <f>MAX(1,10+x_delay+x_rdDelayMonths)</f>
        <v>10</v>
      </c>
      <c r="O51" s="27">
        <f>MAX(1,11+x_delay+x_rdDelayMonths)</f>
        <v>11</v>
      </c>
      <c r="P51" s="27">
        <f>MAX(1,12+x_delay+x_rdDelayMonths)</f>
        <v>12</v>
      </c>
    </row>
    <row r="52" spans="2:17" x14ac:dyDescent="0.45">
      <c r="B52" s="4" t="s">
        <v>444</v>
      </c>
      <c r="C52" s="43" t="s">
        <v>323</v>
      </c>
      <c r="E52" s="44">
        <f t="shared" ref="E52:P52" si="6">(1-0)*SUMPRODUCT($E$49:$P$49,--($E$50:$P$50=E$4))+0*SUMPRODUCT($E$49:$P$49,--($E$51:$P$51=E$4))</f>
        <v>1</v>
      </c>
      <c r="F52" s="44">
        <f t="shared" si="6"/>
        <v>0</v>
      </c>
      <c r="G52" s="44">
        <f t="shared" si="6"/>
        <v>0</v>
      </c>
      <c r="H52" s="44">
        <f t="shared" si="6"/>
        <v>1</v>
      </c>
      <c r="I52" s="44">
        <f t="shared" si="6"/>
        <v>0</v>
      </c>
      <c r="J52" s="44">
        <f t="shared" si="6"/>
        <v>0</v>
      </c>
      <c r="K52" s="44">
        <f t="shared" si="6"/>
        <v>1</v>
      </c>
      <c r="L52" s="44">
        <f t="shared" si="6"/>
        <v>0</v>
      </c>
      <c r="M52" s="44">
        <f t="shared" si="6"/>
        <v>0</v>
      </c>
      <c r="N52" s="44">
        <f t="shared" si="6"/>
        <v>0</v>
      </c>
      <c r="O52" s="44">
        <f t="shared" si="6"/>
        <v>0</v>
      </c>
      <c r="P52" s="44">
        <f t="shared" si="6"/>
        <v>0</v>
      </c>
      <c r="Q52" s="44">
        <f>SUM(E52:P52)</f>
        <v>3</v>
      </c>
    </row>
    <row r="53" spans="2:17" x14ac:dyDescent="0.45">
      <c r="B53" t="s">
        <v>445</v>
      </c>
      <c r="Q53" s="36">
        <f>(1-0)*SUMPRODUCT($E$49:$P$49,--($E$50:$P$50&gt;12))+0*SUMPRODUCT($E$49:$P$49,--($E$51:$P$51&gt;12))</f>
        <v>0</v>
      </c>
    </row>
    <row r="55" spans="2:17" x14ac:dyDescent="0.45">
      <c r="B55" s="4" t="s">
        <v>452</v>
      </c>
    </row>
    <row r="56" spans="2:17" x14ac:dyDescent="0.45">
      <c r="B56" t="s">
        <v>441</v>
      </c>
      <c r="C56" s="43" t="s">
        <v>327</v>
      </c>
      <c r="E56" s="36">
        <f>Inputs!L$55</f>
        <v>0</v>
      </c>
      <c r="F56" s="36">
        <f>Inputs!M$55</f>
        <v>1</v>
      </c>
      <c r="G56" s="36">
        <f>Inputs!N$55</f>
        <v>0</v>
      </c>
      <c r="H56" s="36">
        <f>Inputs!O$55</f>
        <v>0</v>
      </c>
      <c r="I56" s="36">
        <f>Inputs!P$55</f>
        <v>0</v>
      </c>
      <c r="J56" s="36">
        <f>Inputs!Q$55</f>
        <v>0</v>
      </c>
      <c r="K56" s="36">
        <f>Inputs!R$55</f>
        <v>0</v>
      </c>
      <c r="L56" s="36">
        <f>Inputs!S$55</f>
        <v>1</v>
      </c>
      <c r="M56" s="36">
        <f>Inputs!T$55</f>
        <v>0</v>
      </c>
      <c r="N56" s="36">
        <f>Inputs!U$55</f>
        <v>0</v>
      </c>
      <c r="O56" s="36">
        <f>Inputs!V$55</f>
        <v>0</v>
      </c>
      <c r="P56" s="36">
        <f>Inputs!W$55</f>
        <v>0</v>
      </c>
      <c r="Q56" s="44">
        <f>SUM(E56:P56)</f>
        <v>2</v>
      </c>
    </row>
    <row r="57" spans="2:17" x14ac:dyDescent="0.45">
      <c r="B57" t="s">
        <v>442</v>
      </c>
      <c r="E57" s="27">
        <f>MAX(1,1+x_delay)</f>
        <v>1</v>
      </c>
      <c r="F57" s="27">
        <f>MAX(1,2+x_delay)</f>
        <v>2</v>
      </c>
      <c r="G57" s="27">
        <f>MAX(1,3+x_delay)</f>
        <v>3</v>
      </c>
      <c r="H57" s="27">
        <f>MAX(1,4+x_delay)</f>
        <v>4</v>
      </c>
      <c r="I57" s="27">
        <f>MAX(1,5+x_delay)</f>
        <v>5</v>
      </c>
      <c r="J57" s="27">
        <f>MAX(1,6+x_delay)</f>
        <v>6</v>
      </c>
      <c r="K57" s="27">
        <f>MAX(1,7+x_delay)</f>
        <v>7</v>
      </c>
      <c r="L57" s="27">
        <f>MAX(1,8+x_delay)</f>
        <v>8</v>
      </c>
      <c r="M57" s="27">
        <f>MAX(1,9+x_delay)</f>
        <v>9</v>
      </c>
      <c r="N57" s="27">
        <f>MAX(1,10+x_delay)</f>
        <v>10</v>
      </c>
      <c r="O57" s="27">
        <f>MAX(1,11+x_delay)</f>
        <v>11</v>
      </c>
      <c r="P57" s="27">
        <f>MAX(1,12+x_delay)</f>
        <v>12</v>
      </c>
    </row>
    <row r="58" spans="2:17" x14ac:dyDescent="0.45">
      <c r="B58" t="s">
        <v>443</v>
      </c>
      <c r="E58" s="27">
        <f>MAX(1,1+x_delay+x_rdDelayMonths)</f>
        <v>1</v>
      </c>
      <c r="F58" s="27">
        <f>MAX(1,2+x_delay+x_rdDelayMonths)</f>
        <v>2</v>
      </c>
      <c r="G58" s="27">
        <f>MAX(1,3+x_delay+x_rdDelayMonths)</f>
        <v>3</v>
      </c>
      <c r="H58" s="27">
        <f>MAX(1,4+x_delay+x_rdDelayMonths)</f>
        <v>4</v>
      </c>
      <c r="I58" s="27">
        <f>MAX(1,5+x_delay+x_rdDelayMonths)</f>
        <v>5</v>
      </c>
      <c r="J58" s="27">
        <f>MAX(1,6+x_delay+x_rdDelayMonths)</f>
        <v>6</v>
      </c>
      <c r="K58" s="27">
        <f>MAX(1,7+x_delay+x_rdDelayMonths)</f>
        <v>7</v>
      </c>
      <c r="L58" s="27">
        <f>MAX(1,8+x_delay+x_rdDelayMonths)</f>
        <v>8</v>
      </c>
      <c r="M58" s="27">
        <f>MAX(1,9+x_delay+x_rdDelayMonths)</f>
        <v>9</v>
      </c>
      <c r="N58" s="27">
        <f>MAX(1,10+x_delay+x_rdDelayMonths)</f>
        <v>10</v>
      </c>
      <c r="O58" s="27">
        <f>MAX(1,11+x_delay+x_rdDelayMonths)</f>
        <v>11</v>
      </c>
      <c r="P58" s="27">
        <f>MAX(1,12+x_delay+x_rdDelayMonths)</f>
        <v>12</v>
      </c>
    </row>
    <row r="59" spans="2:17" x14ac:dyDescent="0.45">
      <c r="B59" s="4" t="s">
        <v>444</v>
      </c>
      <c r="C59" s="43" t="s">
        <v>327</v>
      </c>
      <c r="E59" s="44">
        <f t="shared" ref="E59:P59" si="7">(1-0)*SUMPRODUCT($E$56:$P$56,--($E$57:$P$57=E$4))+0*SUMPRODUCT($E$56:$P$56,--($E$58:$P$58=E$4))</f>
        <v>0</v>
      </c>
      <c r="F59" s="44">
        <f t="shared" si="7"/>
        <v>1</v>
      </c>
      <c r="G59" s="44">
        <f t="shared" si="7"/>
        <v>0</v>
      </c>
      <c r="H59" s="44">
        <f t="shared" si="7"/>
        <v>0</v>
      </c>
      <c r="I59" s="44">
        <f t="shared" si="7"/>
        <v>0</v>
      </c>
      <c r="J59" s="44">
        <f t="shared" si="7"/>
        <v>0</v>
      </c>
      <c r="K59" s="44">
        <f t="shared" si="7"/>
        <v>0</v>
      </c>
      <c r="L59" s="44">
        <f t="shared" si="7"/>
        <v>1</v>
      </c>
      <c r="M59" s="44">
        <f t="shared" si="7"/>
        <v>0</v>
      </c>
      <c r="N59" s="44">
        <f t="shared" si="7"/>
        <v>0</v>
      </c>
      <c r="O59" s="44">
        <f t="shared" si="7"/>
        <v>0</v>
      </c>
      <c r="P59" s="44">
        <f t="shared" si="7"/>
        <v>0</v>
      </c>
      <c r="Q59" s="44">
        <f>SUM(E59:P59)</f>
        <v>2</v>
      </c>
    </row>
    <row r="60" spans="2:17" x14ac:dyDescent="0.45">
      <c r="B60" t="s">
        <v>445</v>
      </c>
      <c r="Q60" s="36">
        <f>(1-0)*SUMPRODUCT($E$56:$P$56,--($E$57:$P$57&gt;12))+0*SUMPRODUCT($E$56:$P$56,--($E$58:$P$58&gt;12))</f>
        <v>0</v>
      </c>
    </row>
    <row r="62" spans="2:17" x14ac:dyDescent="0.45">
      <c r="B62" s="4" t="s">
        <v>453</v>
      </c>
    </row>
    <row r="63" spans="2:17" x14ac:dyDescent="0.45">
      <c r="B63" t="s">
        <v>441</v>
      </c>
      <c r="C63" s="43" t="s">
        <v>329</v>
      </c>
      <c r="E63" s="36">
        <f>Inputs!L$56</f>
        <v>0</v>
      </c>
      <c r="F63" s="36">
        <f>Inputs!M$56</f>
        <v>0</v>
      </c>
      <c r="G63" s="36">
        <f>Inputs!N$56</f>
        <v>0</v>
      </c>
      <c r="H63" s="36">
        <f>Inputs!O$56</f>
        <v>0</v>
      </c>
      <c r="I63" s="36">
        <f>Inputs!P$56</f>
        <v>0</v>
      </c>
      <c r="J63" s="36">
        <f>Inputs!Q$56</f>
        <v>0</v>
      </c>
      <c r="K63" s="36">
        <f>Inputs!R$56</f>
        <v>0</v>
      </c>
      <c r="L63" s="36">
        <f>Inputs!S$56</f>
        <v>0</v>
      </c>
      <c r="M63" s="36">
        <f>Inputs!T$56</f>
        <v>0</v>
      </c>
      <c r="N63" s="36">
        <f>Inputs!U$56</f>
        <v>0</v>
      </c>
      <c r="O63" s="36">
        <f>Inputs!V$56</f>
        <v>0</v>
      </c>
      <c r="P63" s="36">
        <f>Inputs!W$56</f>
        <v>0</v>
      </c>
      <c r="Q63" s="44">
        <f>SUM(E63:P63)</f>
        <v>0</v>
      </c>
    </row>
    <row r="64" spans="2:17" x14ac:dyDescent="0.45">
      <c r="B64" t="s">
        <v>442</v>
      </c>
      <c r="E64" s="27">
        <f>MAX(1,1+x_delay)</f>
        <v>1</v>
      </c>
      <c r="F64" s="27">
        <f>MAX(1,2+x_delay)</f>
        <v>2</v>
      </c>
      <c r="G64" s="27">
        <f>MAX(1,3+x_delay)</f>
        <v>3</v>
      </c>
      <c r="H64" s="27">
        <f>MAX(1,4+x_delay)</f>
        <v>4</v>
      </c>
      <c r="I64" s="27">
        <f>MAX(1,5+x_delay)</f>
        <v>5</v>
      </c>
      <c r="J64" s="27">
        <f>MAX(1,6+x_delay)</f>
        <v>6</v>
      </c>
      <c r="K64" s="27">
        <f>MAX(1,7+x_delay)</f>
        <v>7</v>
      </c>
      <c r="L64" s="27">
        <f>MAX(1,8+x_delay)</f>
        <v>8</v>
      </c>
      <c r="M64" s="27">
        <f>MAX(1,9+x_delay)</f>
        <v>9</v>
      </c>
      <c r="N64" s="27">
        <f>MAX(1,10+x_delay)</f>
        <v>10</v>
      </c>
      <c r="O64" s="27">
        <f>MAX(1,11+x_delay)</f>
        <v>11</v>
      </c>
      <c r="P64" s="27">
        <f>MAX(1,12+x_delay)</f>
        <v>12</v>
      </c>
    </row>
    <row r="65" spans="2:17" x14ac:dyDescent="0.45">
      <c r="B65" t="s">
        <v>443</v>
      </c>
      <c r="E65" s="27">
        <f>MAX(1,1+x_delay+x_rdDelayMonths)</f>
        <v>1</v>
      </c>
      <c r="F65" s="27">
        <f>MAX(1,2+x_delay+x_rdDelayMonths)</f>
        <v>2</v>
      </c>
      <c r="G65" s="27">
        <f>MAX(1,3+x_delay+x_rdDelayMonths)</f>
        <v>3</v>
      </c>
      <c r="H65" s="27">
        <f>MAX(1,4+x_delay+x_rdDelayMonths)</f>
        <v>4</v>
      </c>
      <c r="I65" s="27">
        <f>MAX(1,5+x_delay+x_rdDelayMonths)</f>
        <v>5</v>
      </c>
      <c r="J65" s="27">
        <f>MAX(1,6+x_delay+x_rdDelayMonths)</f>
        <v>6</v>
      </c>
      <c r="K65" s="27">
        <f>MAX(1,7+x_delay+x_rdDelayMonths)</f>
        <v>7</v>
      </c>
      <c r="L65" s="27">
        <f>MAX(1,8+x_delay+x_rdDelayMonths)</f>
        <v>8</v>
      </c>
      <c r="M65" s="27">
        <f>MAX(1,9+x_delay+x_rdDelayMonths)</f>
        <v>9</v>
      </c>
      <c r="N65" s="27">
        <f>MAX(1,10+x_delay+x_rdDelayMonths)</f>
        <v>10</v>
      </c>
      <c r="O65" s="27">
        <f>MAX(1,11+x_delay+x_rdDelayMonths)</f>
        <v>11</v>
      </c>
      <c r="P65" s="27">
        <f>MAX(1,12+x_delay+x_rdDelayMonths)</f>
        <v>12</v>
      </c>
    </row>
    <row r="66" spans="2:17" x14ac:dyDescent="0.45">
      <c r="B66" s="4" t="s">
        <v>444</v>
      </c>
      <c r="C66" s="43" t="s">
        <v>329</v>
      </c>
      <c r="E66" s="44">
        <f t="shared" ref="E66:P66" si="8">(1-0)*SUMPRODUCT($E$63:$P$63,--($E$64:$P$64=E$4))+0*SUMPRODUCT($E$63:$P$63,--($E$65:$P$65=E$4))</f>
        <v>0</v>
      </c>
      <c r="F66" s="44">
        <f t="shared" si="8"/>
        <v>0</v>
      </c>
      <c r="G66" s="44">
        <f t="shared" si="8"/>
        <v>0</v>
      </c>
      <c r="H66" s="44">
        <f t="shared" si="8"/>
        <v>0</v>
      </c>
      <c r="I66" s="44">
        <f t="shared" si="8"/>
        <v>0</v>
      </c>
      <c r="J66" s="44">
        <f t="shared" si="8"/>
        <v>0</v>
      </c>
      <c r="K66" s="44">
        <f t="shared" si="8"/>
        <v>0</v>
      </c>
      <c r="L66" s="44">
        <f t="shared" si="8"/>
        <v>0</v>
      </c>
      <c r="M66" s="44">
        <f t="shared" si="8"/>
        <v>0</v>
      </c>
      <c r="N66" s="44">
        <f t="shared" si="8"/>
        <v>0</v>
      </c>
      <c r="O66" s="44">
        <f t="shared" si="8"/>
        <v>0</v>
      </c>
      <c r="P66" s="44">
        <f t="shared" si="8"/>
        <v>0</v>
      </c>
      <c r="Q66" s="44">
        <f>SUM(E66:P66)</f>
        <v>0</v>
      </c>
    </row>
    <row r="67" spans="2:17" x14ac:dyDescent="0.45">
      <c r="B67" t="s">
        <v>445</v>
      </c>
      <c r="Q67" s="36">
        <f>(1-0)*SUMPRODUCT($E$63:$P$63,--($E$64:$P$64&gt;12))+0*SUMPRODUCT($E$63:$P$63,--($E$65:$P$65&gt;12))</f>
        <v>0</v>
      </c>
    </row>
    <row r="69" spans="2:17" x14ac:dyDescent="0.45">
      <c r="B69" s="4" t="s">
        <v>454</v>
      </c>
    </row>
    <row r="70" spans="2:17" x14ac:dyDescent="0.45">
      <c r="B70" t="s">
        <v>441</v>
      </c>
      <c r="C70" s="43" t="s">
        <v>332</v>
      </c>
      <c r="E70" s="36">
        <f>Inputs!L$57</f>
        <v>1</v>
      </c>
      <c r="F70" s="36">
        <f>Inputs!M$57</f>
        <v>0</v>
      </c>
      <c r="G70" s="36">
        <f>Inputs!N$57</f>
        <v>1</v>
      </c>
      <c r="H70" s="36">
        <f>Inputs!O$57</f>
        <v>0</v>
      </c>
      <c r="I70" s="36">
        <f>Inputs!P$57</f>
        <v>1</v>
      </c>
      <c r="J70" s="36">
        <f>Inputs!Q$57</f>
        <v>0</v>
      </c>
      <c r="K70" s="36">
        <f>Inputs!R$57</f>
        <v>1</v>
      </c>
      <c r="L70" s="36">
        <f>Inputs!S$57</f>
        <v>0</v>
      </c>
      <c r="M70" s="36">
        <f>Inputs!T$57</f>
        <v>1</v>
      </c>
      <c r="N70" s="36">
        <f>Inputs!U$57</f>
        <v>0</v>
      </c>
      <c r="O70" s="36">
        <f>Inputs!V$57</f>
        <v>0</v>
      </c>
      <c r="P70" s="36">
        <f>Inputs!W$57</f>
        <v>0</v>
      </c>
      <c r="Q70" s="44">
        <f>SUM(E70:P70)</f>
        <v>5</v>
      </c>
    </row>
    <row r="71" spans="2:17" x14ac:dyDescent="0.45">
      <c r="B71" t="s">
        <v>442</v>
      </c>
      <c r="E71" s="27">
        <f>MAX(1,1+x_delay)</f>
        <v>1</v>
      </c>
      <c r="F71" s="27">
        <f>MAX(1,2+x_delay)</f>
        <v>2</v>
      </c>
      <c r="G71" s="27">
        <f>MAX(1,3+x_delay)</f>
        <v>3</v>
      </c>
      <c r="H71" s="27">
        <f>MAX(1,4+x_delay)</f>
        <v>4</v>
      </c>
      <c r="I71" s="27">
        <f>MAX(1,5+x_delay)</f>
        <v>5</v>
      </c>
      <c r="J71" s="27">
        <f>MAX(1,6+x_delay)</f>
        <v>6</v>
      </c>
      <c r="K71" s="27">
        <f>MAX(1,7+x_delay)</f>
        <v>7</v>
      </c>
      <c r="L71" s="27">
        <f>MAX(1,8+x_delay)</f>
        <v>8</v>
      </c>
      <c r="M71" s="27">
        <f>MAX(1,9+x_delay)</f>
        <v>9</v>
      </c>
      <c r="N71" s="27">
        <f>MAX(1,10+x_delay)</f>
        <v>10</v>
      </c>
      <c r="O71" s="27">
        <f>MAX(1,11+x_delay)</f>
        <v>11</v>
      </c>
      <c r="P71" s="27">
        <f>MAX(1,12+x_delay)</f>
        <v>12</v>
      </c>
    </row>
    <row r="72" spans="2:17" x14ac:dyDescent="0.45">
      <c r="B72" t="s">
        <v>443</v>
      </c>
      <c r="E72" s="27">
        <f>MAX(1,1+x_delay+x_rdDelayMonths)</f>
        <v>1</v>
      </c>
      <c r="F72" s="27">
        <f>MAX(1,2+x_delay+x_rdDelayMonths)</f>
        <v>2</v>
      </c>
      <c r="G72" s="27">
        <f>MAX(1,3+x_delay+x_rdDelayMonths)</f>
        <v>3</v>
      </c>
      <c r="H72" s="27">
        <f>MAX(1,4+x_delay+x_rdDelayMonths)</f>
        <v>4</v>
      </c>
      <c r="I72" s="27">
        <f>MAX(1,5+x_delay+x_rdDelayMonths)</f>
        <v>5</v>
      </c>
      <c r="J72" s="27">
        <f>MAX(1,6+x_delay+x_rdDelayMonths)</f>
        <v>6</v>
      </c>
      <c r="K72" s="27">
        <f>MAX(1,7+x_delay+x_rdDelayMonths)</f>
        <v>7</v>
      </c>
      <c r="L72" s="27">
        <f>MAX(1,8+x_delay+x_rdDelayMonths)</f>
        <v>8</v>
      </c>
      <c r="M72" s="27">
        <f>MAX(1,9+x_delay+x_rdDelayMonths)</f>
        <v>9</v>
      </c>
      <c r="N72" s="27">
        <f>MAX(1,10+x_delay+x_rdDelayMonths)</f>
        <v>10</v>
      </c>
      <c r="O72" s="27">
        <f>MAX(1,11+x_delay+x_rdDelayMonths)</f>
        <v>11</v>
      </c>
      <c r="P72" s="27">
        <f>MAX(1,12+x_delay+x_rdDelayMonths)</f>
        <v>12</v>
      </c>
    </row>
    <row r="73" spans="2:17" x14ac:dyDescent="0.45">
      <c r="B73" s="4" t="s">
        <v>444</v>
      </c>
      <c r="C73" s="43" t="s">
        <v>332</v>
      </c>
      <c r="E73" s="44">
        <f t="shared" ref="E73:P73" si="9">(1-0)*SUMPRODUCT($E$70:$P$70,--($E$71:$P$71=E$4))+0*SUMPRODUCT($E$70:$P$70,--($E$72:$P$72=E$4))</f>
        <v>1</v>
      </c>
      <c r="F73" s="44">
        <f t="shared" si="9"/>
        <v>0</v>
      </c>
      <c r="G73" s="44">
        <f t="shared" si="9"/>
        <v>1</v>
      </c>
      <c r="H73" s="44">
        <f t="shared" si="9"/>
        <v>0</v>
      </c>
      <c r="I73" s="44">
        <f t="shared" si="9"/>
        <v>1</v>
      </c>
      <c r="J73" s="44">
        <f t="shared" si="9"/>
        <v>0</v>
      </c>
      <c r="K73" s="44">
        <f t="shared" si="9"/>
        <v>1</v>
      </c>
      <c r="L73" s="44">
        <f t="shared" si="9"/>
        <v>0</v>
      </c>
      <c r="M73" s="44">
        <f t="shared" si="9"/>
        <v>1</v>
      </c>
      <c r="N73" s="44">
        <f t="shared" si="9"/>
        <v>0</v>
      </c>
      <c r="O73" s="44">
        <f t="shared" si="9"/>
        <v>0</v>
      </c>
      <c r="P73" s="44">
        <f t="shared" si="9"/>
        <v>0</v>
      </c>
      <c r="Q73" s="44">
        <f>SUM(E73:P73)</f>
        <v>5</v>
      </c>
    </row>
    <row r="74" spans="2:17" x14ac:dyDescent="0.45">
      <c r="B74" t="s">
        <v>445</v>
      </c>
      <c r="Q74" s="36">
        <f>(1-0)*SUMPRODUCT($E$70:$P$70,--($E$71:$P$71&gt;12))+0*SUMPRODUCT($E$70:$P$70,--($E$72:$P$72&gt;12))</f>
        <v>0</v>
      </c>
    </row>
    <row r="76" spans="2:17" x14ac:dyDescent="0.45">
      <c r="B76" s="4" t="s">
        <v>455</v>
      </c>
    </row>
    <row r="77" spans="2:17" x14ac:dyDescent="0.45">
      <c r="B77" t="s">
        <v>441</v>
      </c>
      <c r="C77" s="43" t="s">
        <v>336</v>
      </c>
      <c r="E77" s="36">
        <f>Inputs!L$58</f>
        <v>0</v>
      </c>
      <c r="F77" s="36">
        <f>Inputs!M$58</f>
        <v>1</v>
      </c>
      <c r="G77" s="36">
        <f>Inputs!N$58</f>
        <v>0</v>
      </c>
      <c r="H77" s="36">
        <f>Inputs!O$58</f>
        <v>0</v>
      </c>
      <c r="I77" s="36">
        <f>Inputs!P$58</f>
        <v>0</v>
      </c>
      <c r="J77" s="36">
        <f>Inputs!Q$58</f>
        <v>1</v>
      </c>
      <c r="K77" s="36">
        <f>Inputs!R$58</f>
        <v>0</v>
      </c>
      <c r="L77" s="36">
        <f>Inputs!S$58</f>
        <v>0</v>
      </c>
      <c r="M77" s="36">
        <f>Inputs!T$58</f>
        <v>0</v>
      </c>
      <c r="N77" s="36">
        <f>Inputs!U$58</f>
        <v>1</v>
      </c>
      <c r="O77" s="36">
        <f>Inputs!V$58</f>
        <v>0</v>
      </c>
      <c r="P77" s="36">
        <f>Inputs!W$58</f>
        <v>0</v>
      </c>
      <c r="Q77" s="44">
        <f>SUM(E77:P77)</f>
        <v>3</v>
      </c>
    </row>
    <row r="78" spans="2:17" x14ac:dyDescent="0.45">
      <c r="B78" t="s">
        <v>442</v>
      </c>
      <c r="E78" s="27">
        <f>MAX(1,1+x_delay)</f>
        <v>1</v>
      </c>
      <c r="F78" s="27">
        <f>MAX(1,2+x_delay)</f>
        <v>2</v>
      </c>
      <c r="G78" s="27">
        <f>MAX(1,3+x_delay)</f>
        <v>3</v>
      </c>
      <c r="H78" s="27">
        <f>MAX(1,4+x_delay)</f>
        <v>4</v>
      </c>
      <c r="I78" s="27">
        <f>MAX(1,5+x_delay)</f>
        <v>5</v>
      </c>
      <c r="J78" s="27">
        <f>MAX(1,6+x_delay)</f>
        <v>6</v>
      </c>
      <c r="K78" s="27">
        <f>MAX(1,7+x_delay)</f>
        <v>7</v>
      </c>
      <c r="L78" s="27">
        <f>MAX(1,8+x_delay)</f>
        <v>8</v>
      </c>
      <c r="M78" s="27">
        <f>MAX(1,9+x_delay)</f>
        <v>9</v>
      </c>
      <c r="N78" s="27">
        <f>MAX(1,10+x_delay)</f>
        <v>10</v>
      </c>
      <c r="O78" s="27">
        <f>MAX(1,11+x_delay)</f>
        <v>11</v>
      </c>
      <c r="P78" s="27">
        <f>MAX(1,12+x_delay)</f>
        <v>12</v>
      </c>
    </row>
    <row r="79" spans="2:17" x14ac:dyDescent="0.45">
      <c r="B79" t="s">
        <v>443</v>
      </c>
      <c r="E79" s="27">
        <f>MAX(1,1+x_delay+x_rdDelayMonths)</f>
        <v>1</v>
      </c>
      <c r="F79" s="27">
        <f>MAX(1,2+x_delay+x_rdDelayMonths)</f>
        <v>2</v>
      </c>
      <c r="G79" s="27">
        <f>MAX(1,3+x_delay+x_rdDelayMonths)</f>
        <v>3</v>
      </c>
      <c r="H79" s="27">
        <f>MAX(1,4+x_delay+x_rdDelayMonths)</f>
        <v>4</v>
      </c>
      <c r="I79" s="27">
        <f>MAX(1,5+x_delay+x_rdDelayMonths)</f>
        <v>5</v>
      </c>
      <c r="J79" s="27">
        <f>MAX(1,6+x_delay+x_rdDelayMonths)</f>
        <v>6</v>
      </c>
      <c r="K79" s="27">
        <f>MAX(1,7+x_delay+x_rdDelayMonths)</f>
        <v>7</v>
      </c>
      <c r="L79" s="27">
        <f>MAX(1,8+x_delay+x_rdDelayMonths)</f>
        <v>8</v>
      </c>
      <c r="M79" s="27">
        <f>MAX(1,9+x_delay+x_rdDelayMonths)</f>
        <v>9</v>
      </c>
      <c r="N79" s="27">
        <f>MAX(1,10+x_delay+x_rdDelayMonths)</f>
        <v>10</v>
      </c>
      <c r="O79" s="27">
        <f>MAX(1,11+x_delay+x_rdDelayMonths)</f>
        <v>11</v>
      </c>
      <c r="P79" s="27">
        <f>MAX(1,12+x_delay+x_rdDelayMonths)</f>
        <v>12</v>
      </c>
    </row>
    <row r="80" spans="2:17" x14ac:dyDescent="0.45">
      <c r="B80" s="4" t="s">
        <v>444</v>
      </c>
      <c r="C80" s="43" t="s">
        <v>336</v>
      </c>
      <c r="E80" s="44">
        <f t="shared" ref="E80:P80" si="10">(1-0)*SUMPRODUCT($E$77:$P$77,--($E$78:$P$78=E$4))+0*SUMPRODUCT($E$77:$P$77,--($E$79:$P$79=E$4))</f>
        <v>0</v>
      </c>
      <c r="F80" s="44">
        <f t="shared" si="10"/>
        <v>1</v>
      </c>
      <c r="G80" s="44">
        <f t="shared" si="10"/>
        <v>0</v>
      </c>
      <c r="H80" s="44">
        <f t="shared" si="10"/>
        <v>0</v>
      </c>
      <c r="I80" s="44">
        <f t="shared" si="10"/>
        <v>0</v>
      </c>
      <c r="J80" s="44">
        <f t="shared" si="10"/>
        <v>1</v>
      </c>
      <c r="K80" s="44">
        <f t="shared" si="10"/>
        <v>0</v>
      </c>
      <c r="L80" s="44">
        <f t="shared" si="10"/>
        <v>0</v>
      </c>
      <c r="M80" s="44">
        <f t="shared" si="10"/>
        <v>0</v>
      </c>
      <c r="N80" s="44">
        <f t="shared" si="10"/>
        <v>1</v>
      </c>
      <c r="O80" s="44">
        <f t="shared" si="10"/>
        <v>0</v>
      </c>
      <c r="P80" s="44">
        <f t="shared" si="10"/>
        <v>0</v>
      </c>
      <c r="Q80" s="44">
        <f>SUM(E80:P80)</f>
        <v>3</v>
      </c>
    </row>
    <row r="81" spans="2:17" x14ac:dyDescent="0.45">
      <c r="B81" t="s">
        <v>445</v>
      </c>
      <c r="Q81" s="36">
        <f>(1-0)*SUMPRODUCT($E$77:$P$77,--($E$78:$P$78&gt;12))+0*SUMPRODUCT($E$77:$P$77,--($E$79:$P$79&gt;12))</f>
        <v>0</v>
      </c>
    </row>
    <row r="83" spans="2:17" x14ac:dyDescent="0.45">
      <c r="B83" s="4" t="s">
        <v>456</v>
      </c>
    </row>
    <row r="84" spans="2:17" x14ac:dyDescent="0.45">
      <c r="B84" t="s">
        <v>441</v>
      </c>
      <c r="C84" s="43" t="s">
        <v>338</v>
      </c>
      <c r="E84" s="36">
        <f>Inputs!L$59</f>
        <v>0</v>
      </c>
      <c r="F84" s="36">
        <f>Inputs!M$59</f>
        <v>0</v>
      </c>
      <c r="G84" s="36">
        <f>Inputs!N$59</f>
        <v>0</v>
      </c>
      <c r="H84" s="36">
        <f>Inputs!O$59</f>
        <v>0</v>
      </c>
      <c r="I84" s="36">
        <f>Inputs!P$59</f>
        <v>0</v>
      </c>
      <c r="J84" s="36">
        <f>Inputs!Q$59</f>
        <v>0</v>
      </c>
      <c r="K84" s="36">
        <f>Inputs!R$59</f>
        <v>0</v>
      </c>
      <c r="L84" s="36">
        <f>Inputs!S$59</f>
        <v>0</v>
      </c>
      <c r="M84" s="36">
        <f>Inputs!T$59</f>
        <v>0</v>
      </c>
      <c r="N84" s="36">
        <f>Inputs!U$59</f>
        <v>0</v>
      </c>
      <c r="O84" s="36">
        <f>Inputs!V$59</f>
        <v>0</v>
      </c>
      <c r="P84" s="36">
        <f>Inputs!W$59</f>
        <v>0</v>
      </c>
      <c r="Q84" s="44">
        <f>SUM(E84:P84)</f>
        <v>0</v>
      </c>
    </row>
    <row r="85" spans="2:17" x14ac:dyDescent="0.45">
      <c r="B85" t="s">
        <v>442</v>
      </c>
      <c r="E85" s="27">
        <f>MAX(1,1+x_delay)</f>
        <v>1</v>
      </c>
      <c r="F85" s="27">
        <f>MAX(1,2+x_delay)</f>
        <v>2</v>
      </c>
      <c r="G85" s="27">
        <f>MAX(1,3+x_delay)</f>
        <v>3</v>
      </c>
      <c r="H85" s="27">
        <f>MAX(1,4+x_delay)</f>
        <v>4</v>
      </c>
      <c r="I85" s="27">
        <f>MAX(1,5+x_delay)</f>
        <v>5</v>
      </c>
      <c r="J85" s="27">
        <f>MAX(1,6+x_delay)</f>
        <v>6</v>
      </c>
      <c r="K85" s="27">
        <f>MAX(1,7+x_delay)</f>
        <v>7</v>
      </c>
      <c r="L85" s="27">
        <f>MAX(1,8+x_delay)</f>
        <v>8</v>
      </c>
      <c r="M85" s="27">
        <f>MAX(1,9+x_delay)</f>
        <v>9</v>
      </c>
      <c r="N85" s="27">
        <f>MAX(1,10+x_delay)</f>
        <v>10</v>
      </c>
      <c r="O85" s="27">
        <f>MAX(1,11+x_delay)</f>
        <v>11</v>
      </c>
      <c r="P85" s="27">
        <f>MAX(1,12+x_delay)</f>
        <v>12</v>
      </c>
    </row>
    <row r="86" spans="2:17" x14ac:dyDescent="0.45">
      <c r="B86" t="s">
        <v>443</v>
      </c>
      <c r="E86" s="27">
        <f>MAX(1,1+x_delay+x_rdDelayMonths)</f>
        <v>1</v>
      </c>
      <c r="F86" s="27">
        <f>MAX(1,2+x_delay+x_rdDelayMonths)</f>
        <v>2</v>
      </c>
      <c r="G86" s="27">
        <f>MAX(1,3+x_delay+x_rdDelayMonths)</f>
        <v>3</v>
      </c>
      <c r="H86" s="27">
        <f>MAX(1,4+x_delay+x_rdDelayMonths)</f>
        <v>4</v>
      </c>
      <c r="I86" s="27">
        <f>MAX(1,5+x_delay+x_rdDelayMonths)</f>
        <v>5</v>
      </c>
      <c r="J86" s="27">
        <f>MAX(1,6+x_delay+x_rdDelayMonths)</f>
        <v>6</v>
      </c>
      <c r="K86" s="27">
        <f>MAX(1,7+x_delay+x_rdDelayMonths)</f>
        <v>7</v>
      </c>
      <c r="L86" s="27">
        <f>MAX(1,8+x_delay+x_rdDelayMonths)</f>
        <v>8</v>
      </c>
      <c r="M86" s="27">
        <f>MAX(1,9+x_delay+x_rdDelayMonths)</f>
        <v>9</v>
      </c>
      <c r="N86" s="27">
        <f>MAX(1,10+x_delay+x_rdDelayMonths)</f>
        <v>10</v>
      </c>
      <c r="O86" s="27">
        <f>MAX(1,11+x_delay+x_rdDelayMonths)</f>
        <v>11</v>
      </c>
      <c r="P86" s="27">
        <f>MAX(1,12+x_delay+x_rdDelayMonths)</f>
        <v>12</v>
      </c>
    </row>
    <row r="87" spans="2:17" x14ac:dyDescent="0.45">
      <c r="B87" s="4" t="s">
        <v>444</v>
      </c>
      <c r="C87" s="43" t="s">
        <v>338</v>
      </c>
      <c r="E87" s="44">
        <f t="shared" ref="E87:P87" si="11">(1-0)*SUMPRODUCT($E$84:$P$84,--($E$85:$P$85=E$4))+0*SUMPRODUCT($E$84:$P$84,--($E$86:$P$86=E$4))</f>
        <v>0</v>
      </c>
      <c r="F87" s="44">
        <f t="shared" si="11"/>
        <v>0</v>
      </c>
      <c r="G87" s="44">
        <f t="shared" si="11"/>
        <v>0</v>
      </c>
      <c r="H87" s="44">
        <f t="shared" si="11"/>
        <v>0</v>
      </c>
      <c r="I87" s="44">
        <f t="shared" si="11"/>
        <v>0</v>
      </c>
      <c r="J87" s="44">
        <f t="shared" si="11"/>
        <v>0</v>
      </c>
      <c r="K87" s="44">
        <f t="shared" si="11"/>
        <v>0</v>
      </c>
      <c r="L87" s="44">
        <f t="shared" si="11"/>
        <v>0</v>
      </c>
      <c r="M87" s="44">
        <f t="shared" si="11"/>
        <v>0</v>
      </c>
      <c r="N87" s="44">
        <f t="shared" si="11"/>
        <v>0</v>
      </c>
      <c r="O87" s="44">
        <f t="shared" si="11"/>
        <v>0</v>
      </c>
      <c r="P87" s="44">
        <f t="shared" si="11"/>
        <v>0</v>
      </c>
      <c r="Q87" s="44">
        <f>SUM(E87:P87)</f>
        <v>0</v>
      </c>
    </row>
    <row r="88" spans="2:17" x14ac:dyDescent="0.45">
      <c r="B88" t="s">
        <v>445</v>
      </c>
      <c r="Q88" s="36">
        <f>(1-0)*SUMPRODUCT($E$84:$P$84,--($E$85:$P$85&gt;12))+0*SUMPRODUCT($E$84:$P$84,--($E$86:$P$86&gt;12))</f>
        <v>0</v>
      </c>
    </row>
    <row r="90" spans="2:17" x14ac:dyDescent="0.45">
      <c r="B90" s="4" t="s">
        <v>457</v>
      </c>
    </row>
    <row r="91" spans="2:17" x14ac:dyDescent="0.45">
      <c r="B91" t="s">
        <v>441</v>
      </c>
      <c r="C91" s="43" t="s">
        <v>341</v>
      </c>
      <c r="E91" s="36">
        <f>Inputs!L$60</f>
        <v>1</v>
      </c>
      <c r="F91" s="36">
        <f>Inputs!M$60</f>
        <v>0</v>
      </c>
      <c r="G91" s="36">
        <f>Inputs!N$60</f>
        <v>0</v>
      </c>
      <c r="H91" s="36">
        <f>Inputs!O$60</f>
        <v>1</v>
      </c>
      <c r="I91" s="36">
        <f>Inputs!P$60</f>
        <v>0</v>
      </c>
      <c r="J91" s="36">
        <f>Inputs!Q$60</f>
        <v>0</v>
      </c>
      <c r="K91" s="36">
        <f>Inputs!R$60</f>
        <v>0</v>
      </c>
      <c r="L91" s="36">
        <f>Inputs!S$60</f>
        <v>1</v>
      </c>
      <c r="M91" s="36">
        <f>Inputs!T$60</f>
        <v>0</v>
      </c>
      <c r="N91" s="36">
        <f>Inputs!U$60</f>
        <v>0</v>
      </c>
      <c r="O91" s="36">
        <f>Inputs!V$60</f>
        <v>0</v>
      </c>
      <c r="P91" s="36">
        <f>Inputs!W$60</f>
        <v>0</v>
      </c>
      <c r="Q91" s="44">
        <f>SUM(E91:P91)</f>
        <v>3</v>
      </c>
    </row>
    <row r="92" spans="2:17" x14ac:dyDescent="0.45">
      <c r="B92" t="s">
        <v>442</v>
      </c>
      <c r="E92" s="27">
        <f>MAX(1,1+x_delay)</f>
        <v>1</v>
      </c>
      <c r="F92" s="27">
        <f>MAX(1,2+x_delay)</f>
        <v>2</v>
      </c>
      <c r="G92" s="27">
        <f>MAX(1,3+x_delay)</f>
        <v>3</v>
      </c>
      <c r="H92" s="27">
        <f>MAX(1,4+x_delay)</f>
        <v>4</v>
      </c>
      <c r="I92" s="27">
        <f>MAX(1,5+x_delay)</f>
        <v>5</v>
      </c>
      <c r="J92" s="27">
        <f>MAX(1,6+x_delay)</f>
        <v>6</v>
      </c>
      <c r="K92" s="27">
        <f>MAX(1,7+x_delay)</f>
        <v>7</v>
      </c>
      <c r="L92" s="27">
        <f>MAX(1,8+x_delay)</f>
        <v>8</v>
      </c>
      <c r="M92" s="27">
        <f>MAX(1,9+x_delay)</f>
        <v>9</v>
      </c>
      <c r="N92" s="27">
        <f>MAX(1,10+x_delay)</f>
        <v>10</v>
      </c>
      <c r="O92" s="27">
        <f>MAX(1,11+x_delay)</f>
        <v>11</v>
      </c>
      <c r="P92" s="27">
        <f>MAX(1,12+x_delay)</f>
        <v>12</v>
      </c>
    </row>
    <row r="93" spans="2:17" x14ac:dyDescent="0.45">
      <c r="B93" t="s">
        <v>443</v>
      </c>
      <c r="E93" s="27">
        <f>MAX(1,1+x_delay+x_rdDelayMonths)</f>
        <v>1</v>
      </c>
      <c r="F93" s="27">
        <f>MAX(1,2+x_delay+x_rdDelayMonths)</f>
        <v>2</v>
      </c>
      <c r="G93" s="27">
        <f>MAX(1,3+x_delay+x_rdDelayMonths)</f>
        <v>3</v>
      </c>
      <c r="H93" s="27">
        <f>MAX(1,4+x_delay+x_rdDelayMonths)</f>
        <v>4</v>
      </c>
      <c r="I93" s="27">
        <f>MAX(1,5+x_delay+x_rdDelayMonths)</f>
        <v>5</v>
      </c>
      <c r="J93" s="27">
        <f>MAX(1,6+x_delay+x_rdDelayMonths)</f>
        <v>6</v>
      </c>
      <c r="K93" s="27">
        <f>MAX(1,7+x_delay+x_rdDelayMonths)</f>
        <v>7</v>
      </c>
      <c r="L93" s="27">
        <f>MAX(1,8+x_delay+x_rdDelayMonths)</f>
        <v>8</v>
      </c>
      <c r="M93" s="27">
        <f>MAX(1,9+x_delay+x_rdDelayMonths)</f>
        <v>9</v>
      </c>
      <c r="N93" s="27">
        <f>MAX(1,10+x_delay+x_rdDelayMonths)</f>
        <v>10</v>
      </c>
      <c r="O93" s="27">
        <f>MAX(1,11+x_delay+x_rdDelayMonths)</f>
        <v>11</v>
      </c>
      <c r="P93" s="27">
        <f>MAX(1,12+x_delay+x_rdDelayMonths)</f>
        <v>12</v>
      </c>
    </row>
    <row r="94" spans="2:17" x14ac:dyDescent="0.45">
      <c r="B94" s="4" t="s">
        <v>444</v>
      </c>
      <c r="C94" s="43" t="s">
        <v>341</v>
      </c>
      <c r="E94" s="44">
        <f t="shared" ref="E94:P94" si="12">(1-0)*SUMPRODUCT($E$91:$P$91,--($E$92:$P$92=E$4))+0*SUMPRODUCT($E$91:$P$91,--($E$93:$P$93=E$4))</f>
        <v>1</v>
      </c>
      <c r="F94" s="44">
        <f t="shared" si="12"/>
        <v>0</v>
      </c>
      <c r="G94" s="44">
        <f t="shared" si="12"/>
        <v>0</v>
      </c>
      <c r="H94" s="44">
        <f t="shared" si="12"/>
        <v>1</v>
      </c>
      <c r="I94" s="44">
        <f t="shared" si="12"/>
        <v>0</v>
      </c>
      <c r="J94" s="44">
        <f t="shared" si="12"/>
        <v>0</v>
      </c>
      <c r="K94" s="44">
        <f t="shared" si="12"/>
        <v>0</v>
      </c>
      <c r="L94" s="44">
        <f t="shared" si="12"/>
        <v>1</v>
      </c>
      <c r="M94" s="44">
        <f t="shared" si="12"/>
        <v>0</v>
      </c>
      <c r="N94" s="44">
        <f t="shared" si="12"/>
        <v>0</v>
      </c>
      <c r="O94" s="44">
        <f t="shared" si="12"/>
        <v>0</v>
      </c>
      <c r="P94" s="44">
        <f t="shared" si="12"/>
        <v>0</v>
      </c>
      <c r="Q94" s="44">
        <f>SUM(E94:P94)</f>
        <v>3</v>
      </c>
    </row>
    <row r="95" spans="2:17" x14ac:dyDescent="0.45">
      <c r="B95" t="s">
        <v>445</v>
      </c>
      <c r="Q95" s="36">
        <f>(1-0)*SUMPRODUCT($E$91:$P$91,--($E$92:$P$92&gt;12))+0*SUMPRODUCT($E$91:$P$91,--($E$93:$P$93&gt;12))</f>
        <v>0</v>
      </c>
    </row>
    <row r="97" spans="2:17" x14ac:dyDescent="0.45">
      <c r="B97" s="4" t="s">
        <v>458</v>
      </c>
    </row>
    <row r="98" spans="2:17" x14ac:dyDescent="0.45">
      <c r="B98" t="s">
        <v>441</v>
      </c>
      <c r="C98" s="43" t="s">
        <v>345</v>
      </c>
      <c r="E98" s="36">
        <f>Inputs!L$61</f>
        <v>0</v>
      </c>
      <c r="F98" s="36">
        <f>Inputs!M$61</f>
        <v>1</v>
      </c>
      <c r="G98" s="36">
        <f>Inputs!N$61</f>
        <v>0</v>
      </c>
      <c r="H98" s="36">
        <f>Inputs!O$61</f>
        <v>0</v>
      </c>
      <c r="I98" s="36">
        <f>Inputs!P$61</f>
        <v>0</v>
      </c>
      <c r="J98" s="36">
        <f>Inputs!Q$61</f>
        <v>0</v>
      </c>
      <c r="K98" s="36">
        <f>Inputs!R$61</f>
        <v>1</v>
      </c>
      <c r="L98" s="36">
        <f>Inputs!S$61</f>
        <v>0</v>
      </c>
      <c r="M98" s="36">
        <f>Inputs!T$61</f>
        <v>0</v>
      </c>
      <c r="N98" s="36">
        <f>Inputs!U$61</f>
        <v>0</v>
      </c>
      <c r="O98" s="36">
        <f>Inputs!V$61</f>
        <v>0</v>
      </c>
      <c r="P98" s="36">
        <f>Inputs!W$61</f>
        <v>0</v>
      </c>
      <c r="Q98" s="44">
        <f>SUM(E98:P98)</f>
        <v>2</v>
      </c>
    </row>
    <row r="99" spans="2:17" x14ac:dyDescent="0.45">
      <c r="B99" t="s">
        <v>442</v>
      </c>
      <c r="E99" s="27">
        <f>MAX(1,1+x_delay)</f>
        <v>1</v>
      </c>
      <c r="F99" s="27">
        <f>MAX(1,2+x_delay)</f>
        <v>2</v>
      </c>
      <c r="G99" s="27">
        <f>MAX(1,3+x_delay)</f>
        <v>3</v>
      </c>
      <c r="H99" s="27">
        <f>MAX(1,4+x_delay)</f>
        <v>4</v>
      </c>
      <c r="I99" s="27">
        <f>MAX(1,5+x_delay)</f>
        <v>5</v>
      </c>
      <c r="J99" s="27">
        <f>MAX(1,6+x_delay)</f>
        <v>6</v>
      </c>
      <c r="K99" s="27">
        <f>MAX(1,7+x_delay)</f>
        <v>7</v>
      </c>
      <c r="L99" s="27">
        <f>MAX(1,8+x_delay)</f>
        <v>8</v>
      </c>
      <c r="M99" s="27">
        <f>MAX(1,9+x_delay)</f>
        <v>9</v>
      </c>
      <c r="N99" s="27">
        <f>MAX(1,10+x_delay)</f>
        <v>10</v>
      </c>
      <c r="O99" s="27">
        <f>MAX(1,11+x_delay)</f>
        <v>11</v>
      </c>
      <c r="P99" s="27">
        <f>MAX(1,12+x_delay)</f>
        <v>12</v>
      </c>
    </row>
    <row r="100" spans="2:17" x14ac:dyDescent="0.45">
      <c r="B100" t="s">
        <v>443</v>
      </c>
      <c r="E100" s="27">
        <f>MAX(1,1+x_delay+x_rdDelayMonths)</f>
        <v>1</v>
      </c>
      <c r="F100" s="27">
        <f>MAX(1,2+x_delay+x_rdDelayMonths)</f>
        <v>2</v>
      </c>
      <c r="G100" s="27">
        <f>MAX(1,3+x_delay+x_rdDelayMonths)</f>
        <v>3</v>
      </c>
      <c r="H100" s="27">
        <f>MAX(1,4+x_delay+x_rdDelayMonths)</f>
        <v>4</v>
      </c>
      <c r="I100" s="27">
        <f>MAX(1,5+x_delay+x_rdDelayMonths)</f>
        <v>5</v>
      </c>
      <c r="J100" s="27">
        <f>MAX(1,6+x_delay+x_rdDelayMonths)</f>
        <v>6</v>
      </c>
      <c r="K100" s="27">
        <f>MAX(1,7+x_delay+x_rdDelayMonths)</f>
        <v>7</v>
      </c>
      <c r="L100" s="27">
        <f>MAX(1,8+x_delay+x_rdDelayMonths)</f>
        <v>8</v>
      </c>
      <c r="M100" s="27">
        <f>MAX(1,9+x_delay+x_rdDelayMonths)</f>
        <v>9</v>
      </c>
      <c r="N100" s="27">
        <f>MAX(1,10+x_delay+x_rdDelayMonths)</f>
        <v>10</v>
      </c>
      <c r="O100" s="27">
        <f>MAX(1,11+x_delay+x_rdDelayMonths)</f>
        <v>11</v>
      </c>
      <c r="P100" s="27">
        <f>MAX(1,12+x_delay+x_rdDelayMonths)</f>
        <v>12</v>
      </c>
    </row>
    <row r="101" spans="2:17" x14ac:dyDescent="0.45">
      <c r="B101" s="4" t="s">
        <v>444</v>
      </c>
      <c r="C101" s="43" t="s">
        <v>345</v>
      </c>
      <c r="E101" s="44">
        <f t="shared" ref="E101:P101" si="13">(1-0)*SUMPRODUCT($E$98:$P$98,--($E$99:$P$99=E$4))+0*SUMPRODUCT($E$98:$P$98,--($E$100:$P$100=E$4))</f>
        <v>0</v>
      </c>
      <c r="F101" s="44">
        <f t="shared" si="13"/>
        <v>1</v>
      </c>
      <c r="G101" s="44">
        <f t="shared" si="13"/>
        <v>0</v>
      </c>
      <c r="H101" s="44">
        <f t="shared" si="13"/>
        <v>0</v>
      </c>
      <c r="I101" s="44">
        <f t="shared" si="13"/>
        <v>0</v>
      </c>
      <c r="J101" s="44">
        <f t="shared" si="13"/>
        <v>0</v>
      </c>
      <c r="K101" s="44">
        <f t="shared" si="13"/>
        <v>1</v>
      </c>
      <c r="L101" s="44">
        <f t="shared" si="13"/>
        <v>0</v>
      </c>
      <c r="M101" s="44">
        <f t="shared" si="13"/>
        <v>0</v>
      </c>
      <c r="N101" s="44">
        <f t="shared" si="13"/>
        <v>0</v>
      </c>
      <c r="O101" s="44">
        <f t="shared" si="13"/>
        <v>0</v>
      </c>
      <c r="P101" s="44">
        <f t="shared" si="13"/>
        <v>0</v>
      </c>
      <c r="Q101" s="44">
        <f>SUM(E101:P101)</f>
        <v>2</v>
      </c>
    </row>
    <row r="102" spans="2:17" x14ac:dyDescent="0.45">
      <c r="B102" t="s">
        <v>445</v>
      </c>
      <c r="Q102" s="36">
        <f>(1-0)*SUMPRODUCT($E$98:$P$98,--($E$99:$P$99&gt;12))+0*SUMPRODUCT($E$98:$P$98,--($E$100:$P$100&gt;12))</f>
        <v>0</v>
      </c>
    </row>
    <row r="104" spans="2:17" x14ac:dyDescent="0.45">
      <c r="B104" s="4" t="s">
        <v>459</v>
      </c>
    </row>
    <row r="105" spans="2:17" x14ac:dyDescent="0.45">
      <c r="B105" t="s">
        <v>441</v>
      </c>
      <c r="C105" s="43" t="s">
        <v>347</v>
      </c>
      <c r="E105" s="36">
        <f>Inputs!L$62</f>
        <v>0</v>
      </c>
      <c r="F105" s="36">
        <f>Inputs!M$62</f>
        <v>0</v>
      </c>
      <c r="G105" s="36">
        <f>Inputs!N$62</f>
        <v>0</v>
      </c>
      <c r="H105" s="36">
        <f>Inputs!O$62</f>
        <v>0</v>
      </c>
      <c r="I105" s="36">
        <f>Inputs!P$62</f>
        <v>0</v>
      </c>
      <c r="J105" s="36">
        <f>Inputs!Q$62</f>
        <v>0</v>
      </c>
      <c r="K105" s="36">
        <f>Inputs!R$62</f>
        <v>0</v>
      </c>
      <c r="L105" s="36">
        <f>Inputs!S$62</f>
        <v>0</v>
      </c>
      <c r="M105" s="36">
        <f>Inputs!T$62</f>
        <v>0</v>
      </c>
      <c r="N105" s="36">
        <f>Inputs!U$62</f>
        <v>0</v>
      </c>
      <c r="O105" s="36">
        <f>Inputs!V$62</f>
        <v>0</v>
      </c>
      <c r="P105" s="36">
        <f>Inputs!W$62</f>
        <v>0</v>
      </c>
      <c r="Q105" s="44">
        <f>SUM(E105:P105)</f>
        <v>0</v>
      </c>
    </row>
    <row r="106" spans="2:17" x14ac:dyDescent="0.45">
      <c r="B106" t="s">
        <v>442</v>
      </c>
      <c r="E106" s="27">
        <f>MAX(1,1+x_delay)</f>
        <v>1</v>
      </c>
      <c r="F106" s="27">
        <f>MAX(1,2+x_delay)</f>
        <v>2</v>
      </c>
      <c r="G106" s="27">
        <f>MAX(1,3+x_delay)</f>
        <v>3</v>
      </c>
      <c r="H106" s="27">
        <f>MAX(1,4+x_delay)</f>
        <v>4</v>
      </c>
      <c r="I106" s="27">
        <f>MAX(1,5+x_delay)</f>
        <v>5</v>
      </c>
      <c r="J106" s="27">
        <f>MAX(1,6+x_delay)</f>
        <v>6</v>
      </c>
      <c r="K106" s="27">
        <f>MAX(1,7+x_delay)</f>
        <v>7</v>
      </c>
      <c r="L106" s="27">
        <f>MAX(1,8+x_delay)</f>
        <v>8</v>
      </c>
      <c r="M106" s="27">
        <f>MAX(1,9+x_delay)</f>
        <v>9</v>
      </c>
      <c r="N106" s="27">
        <f>MAX(1,10+x_delay)</f>
        <v>10</v>
      </c>
      <c r="O106" s="27">
        <f>MAX(1,11+x_delay)</f>
        <v>11</v>
      </c>
      <c r="P106" s="27">
        <f>MAX(1,12+x_delay)</f>
        <v>12</v>
      </c>
    </row>
    <row r="107" spans="2:17" x14ac:dyDescent="0.45">
      <c r="B107" t="s">
        <v>443</v>
      </c>
      <c r="E107" s="27">
        <f>MAX(1,1+x_delay+x_rdDelayMonths)</f>
        <v>1</v>
      </c>
      <c r="F107" s="27">
        <f>MAX(1,2+x_delay+x_rdDelayMonths)</f>
        <v>2</v>
      </c>
      <c r="G107" s="27">
        <f>MAX(1,3+x_delay+x_rdDelayMonths)</f>
        <v>3</v>
      </c>
      <c r="H107" s="27">
        <f>MAX(1,4+x_delay+x_rdDelayMonths)</f>
        <v>4</v>
      </c>
      <c r="I107" s="27">
        <f>MAX(1,5+x_delay+x_rdDelayMonths)</f>
        <v>5</v>
      </c>
      <c r="J107" s="27">
        <f>MAX(1,6+x_delay+x_rdDelayMonths)</f>
        <v>6</v>
      </c>
      <c r="K107" s="27">
        <f>MAX(1,7+x_delay+x_rdDelayMonths)</f>
        <v>7</v>
      </c>
      <c r="L107" s="27">
        <f>MAX(1,8+x_delay+x_rdDelayMonths)</f>
        <v>8</v>
      </c>
      <c r="M107" s="27">
        <f>MAX(1,9+x_delay+x_rdDelayMonths)</f>
        <v>9</v>
      </c>
      <c r="N107" s="27">
        <f>MAX(1,10+x_delay+x_rdDelayMonths)</f>
        <v>10</v>
      </c>
      <c r="O107" s="27">
        <f>MAX(1,11+x_delay+x_rdDelayMonths)</f>
        <v>11</v>
      </c>
      <c r="P107" s="27">
        <f>MAX(1,12+x_delay+x_rdDelayMonths)</f>
        <v>12</v>
      </c>
    </row>
    <row r="108" spans="2:17" x14ac:dyDescent="0.45">
      <c r="B108" s="4" t="s">
        <v>444</v>
      </c>
      <c r="C108" s="43" t="s">
        <v>347</v>
      </c>
      <c r="E108" s="44">
        <f t="shared" ref="E108:P108" si="14">(1-0)*SUMPRODUCT($E$105:$P$105,--($E$106:$P$106=E$4))+0*SUMPRODUCT($E$105:$P$105,--($E$107:$P$107=E$4))</f>
        <v>0</v>
      </c>
      <c r="F108" s="44">
        <f t="shared" si="14"/>
        <v>0</v>
      </c>
      <c r="G108" s="44">
        <f t="shared" si="14"/>
        <v>0</v>
      </c>
      <c r="H108" s="44">
        <f t="shared" si="14"/>
        <v>0</v>
      </c>
      <c r="I108" s="44">
        <f t="shared" si="14"/>
        <v>0</v>
      </c>
      <c r="J108" s="44">
        <f t="shared" si="14"/>
        <v>0</v>
      </c>
      <c r="K108" s="44">
        <f t="shared" si="14"/>
        <v>0</v>
      </c>
      <c r="L108" s="44">
        <f t="shared" si="14"/>
        <v>0</v>
      </c>
      <c r="M108" s="44">
        <f t="shared" si="14"/>
        <v>0</v>
      </c>
      <c r="N108" s="44">
        <f t="shared" si="14"/>
        <v>0</v>
      </c>
      <c r="O108" s="44">
        <f t="shared" si="14"/>
        <v>0</v>
      </c>
      <c r="P108" s="44">
        <f t="shared" si="14"/>
        <v>0</v>
      </c>
      <c r="Q108" s="44">
        <f>SUM(E108:P108)</f>
        <v>0</v>
      </c>
    </row>
    <row r="109" spans="2:17" x14ac:dyDescent="0.45">
      <c r="B109" t="s">
        <v>445</v>
      </c>
      <c r="Q109" s="36">
        <f>(1-0)*SUMPRODUCT($E$105:$P$105,--($E$106:$P$106&gt;12))+0*SUMPRODUCT($E$105:$P$105,--($E$107:$P$107&gt;12))</f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Q193"/>
  <sheetViews>
    <sheetView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2" customWidth="1"/>
    <col min="2" max="2" width="44" customWidth="1"/>
    <col min="3" max="3" width="12" customWidth="1"/>
    <col min="4" max="4" width="13" customWidth="1"/>
    <col min="5" max="17" width="12.46484375" customWidth="1"/>
  </cols>
  <sheetData>
    <row r="1" spans="2:17" ht="18" x14ac:dyDescent="0.55000000000000004">
      <c r="B1" s="7" t="s">
        <v>460</v>
      </c>
    </row>
    <row r="2" spans="2:17" x14ac:dyDescent="0.45">
      <c r="B2" s="8" t="s">
        <v>461</v>
      </c>
    </row>
    <row r="3" spans="2:17" x14ac:dyDescent="0.45">
      <c r="B3" s="9" t="s">
        <v>462</v>
      </c>
      <c r="C3" s="9"/>
      <c r="D3" s="9"/>
      <c r="E3" s="41" t="s">
        <v>289</v>
      </c>
      <c r="F3" s="41" t="s">
        <v>290</v>
      </c>
      <c r="G3" s="41" t="s">
        <v>291</v>
      </c>
      <c r="H3" s="41" t="s">
        <v>292</v>
      </c>
      <c r="I3" s="41" t="s">
        <v>293</v>
      </c>
      <c r="J3" s="41" t="s">
        <v>294</v>
      </c>
      <c r="K3" s="41" t="s">
        <v>295</v>
      </c>
      <c r="L3" s="41" t="s">
        <v>296</v>
      </c>
      <c r="M3" s="41" t="s">
        <v>297</v>
      </c>
      <c r="N3" s="41" t="s">
        <v>298</v>
      </c>
      <c r="O3" s="41" t="s">
        <v>299</v>
      </c>
      <c r="P3" s="41" t="s">
        <v>300</v>
      </c>
      <c r="Q3" s="41" t="s">
        <v>439</v>
      </c>
    </row>
    <row r="4" spans="2:17" x14ac:dyDescent="0.45">
      <c r="E4" s="42">
        <v>1</v>
      </c>
      <c r="F4" s="42">
        <v>2</v>
      </c>
      <c r="G4" s="42">
        <v>3</v>
      </c>
      <c r="H4" s="42">
        <v>4</v>
      </c>
      <c r="I4" s="42">
        <v>5</v>
      </c>
      <c r="J4" s="42">
        <v>6</v>
      </c>
      <c r="K4" s="42">
        <v>7</v>
      </c>
      <c r="L4" s="42">
        <v>8</v>
      </c>
      <c r="M4" s="42">
        <v>9</v>
      </c>
      <c r="N4" s="42">
        <v>10</v>
      </c>
      <c r="O4" s="42">
        <v>11</v>
      </c>
      <c r="P4" s="42">
        <v>12</v>
      </c>
    </row>
    <row r="6" spans="2:17" x14ac:dyDescent="0.45">
      <c r="B6" s="4" t="s">
        <v>440</v>
      </c>
    </row>
    <row r="7" spans="2:17" x14ac:dyDescent="0.45">
      <c r="B7" t="s">
        <v>463</v>
      </c>
      <c r="C7" s="43" t="s">
        <v>303</v>
      </c>
      <c r="D7" s="15" t="s">
        <v>464</v>
      </c>
      <c r="E7" s="36">
        <f>Inputs!$K$48</f>
        <v>46</v>
      </c>
      <c r="F7" s="36">
        <f t="shared" ref="F7:P7" si="0">E12</f>
        <v>48</v>
      </c>
      <c r="G7" s="36">
        <f t="shared" si="0"/>
        <v>49.976666666666667</v>
      </c>
      <c r="H7" s="36">
        <f t="shared" si="0"/>
        <v>51.930272222222222</v>
      </c>
      <c r="I7" s="36">
        <f t="shared" si="0"/>
        <v>52.861085712962968</v>
      </c>
      <c r="J7" s="36">
        <f t="shared" si="0"/>
        <v>53.804373046311738</v>
      </c>
      <c r="K7" s="36">
        <f t="shared" si="0"/>
        <v>54.759716471882548</v>
      </c>
      <c r="L7" s="36">
        <f t="shared" si="0"/>
        <v>55.726706288969844</v>
      </c>
      <c r="M7" s="36">
        <f t="shared" si="0"/>
        <v>56.693274048916429</v>
      </c>
      <c r="N7" s="36">
        <f t="shared" si="0"/>
        <v>57.659570203886041</v>
      </c>
      <c r="O7" s="36">
        <f t="shared" si="0"/>
        <v>58.625738577012662</v>
      </c>
      <c r="P7" s="36">
        <f t="shared" si="0"/>
        <v>59.59191653365216</v>
      </c>
      <c r="Q7" s="44">
        <f>E7</f>
        <v>46</v>
      </c>
    </row>
    <row r="8" spans="2:17" x14ac:dyDescent="0.45">
      <c r="B8" t="s">
        <v>465</v>
      </c>
      <c r="C8" s="43" t="s">
        <v>303</v>
      </c>
      <c r="D8" s="15" t="s">
        <v>466</v>
      </c>
      <c r="E8" s="36">
        <f>Hires!E10</f>
        <v>2</v>
      </c>
      <c r="F8" s="36">
        <f>Hires!F10</f>
        <v>2</v>
      </c>
      <c r="G8" s="36">
        <f>Hires!G10</f>
        <v>2</v>
      </c>
      <c r="H8" s="36">
        <f>Hires!H10</f>
        <v>1</v>
      </c>
      <c r="I8" s="36">
        <f>Hires!I10</f>
        <v>1</v>
      </c>
      <c r="J8" s="36">
        <f>Hires!J10</f>
        <v>1</v>
      </c>
      <c r="K8" s="36">
        <f>Hires!K10</f>
        <v>1</v>
      </c>
      <c r="L8" s="36">
        <f>Hires!L10</f>
        <v>1</v>
      </c>
      <c r="M8" s="36">
        <f>Hires!M10</f>
        <v>1</v>
      </c>
      <c r="N8" s="36">
        <f>Hires!N10</f>
        <v>1</v>
      </c>
      <c r="O8" s="36">
        <f>Hires!O10</f>
        <v>1</v>
      </c>
      <c r="P8" s="36">
        <f>Hires!P10</f>
        <v>0</v>
      </c>
      <c r="Q8" s="44">
        <f>SUM(E8:P8)</f>
        <v>14</v>
      </c>
    </row>
    <row r="9" spans="2:17" x14ac:dyDescent="0.45">
      <c r="B9" t="s">
        <v>467</v>
      </c>
      <c r="C9" s="43" t="s">
        <v>303</v>
      </c>
      <c r="D9" s="15" t="s">
        <v>468</v>
      </c>
      <c r="E9" s="36">
        <f>IF(Lag=0,E11,Inputs!$K$48*mAttr)</f>
        <v>0.53666666666666674</v>
      </c>
      <c r="F9" s="36">
        <f>IF(Lag=0,F11,IF(Lag=1,E11,Inputs!$K$48*mAttr))</f>
        <v>0.53666666666666674</v>
      </c>
      <c r="G9" s="36">
        <f>IF(Lag=0,G11,IF(Lag=1,F11,IF(Lag=2,E11,Inputs!$K$48*mAttr)))</f>
        <v>0.53666666666666674</v>
      </c>
      <c r="H9" s="36">
        <f>IF(Lag=0,H11,IF(Lag=1,G11,IF(Lag=2,F11,IF(Lag=3,E11,Inputs!$K$48*mAttr))))</f>
        <v>0.53666666666666674</v>
      </c>
      <c r="I9" s="36">
        <f>IF(Lag=0,I11,IF(Lag=1,H11,IF(Lag=2,G11,IF(Lag=3,F11,IF(Lag=4,E11,Inputs!$K$48*mAttr)))))</f>
        <v>0.56000000000000005</v>
      </c>
      <c r="J9" s="36">
        <f>IF(Lag=0,J11,IF(Lag=1,I11,IF(Lag=2,H11,IF(Lag=3,G11,IF(Lag=4,F11,IF(Lag=5,E11,Inputs!$K$48*mAttr))))))</f>
        <v>0.58306111111111114</v>
      </c>
      <c r="K9" s="36">
        <f>IF(Lag=0,K11,IF(Lag=1,J11,IF(Lag=2,I11,IF(Lag=3,H11,IF(Lag=4,G11,IF(Lag=5,F11,IF(Lag=6,E11,Inputs!$K$48*mAttr)))))))</f>
        <v>0.60585317592592591</v>
      </c>
      <c r="L9" s="36">
        <f>IF(Lag=0,L11,IF(Lag=1,K11,IF(Lag=2,J11,IF(Lag=3,I11,IF(Lag=4,H11,IF(Lag=5,G11,IF(Lag=6,F11,IF(Lag=7,E11,Inputs!$K$48*mAttr))))))))</f>
        <v>0.6167126666512347</v>
      </c>
      <c r="M9" s="36">
        <f>IF(Lag=0,M11,IF(Lag=1,L11,IF(Lag=2,K11,IF(Lag=3,J11,IF(Lag=4,I11,IF(Lag=5,H11,IF(Lag=6,G11,IF(Lag=7,F11,IF(Lag=8,E11,Inputs!$K$48*mAttr)))))))))</f>
        <v>0.6277176855403036</v>
      </c>
      <c r="N9" s="36">
        <f>IF(Lag=0,N11,IF(Lag=1,M11,IF(Lag=2,L11,IF(Lag=3,K11,IF(Lag=4,J11,IF(Lag=5,I11,IF(Lag=6,H11,IF(Lag=7,G11,IF(Lag=8,F11,IF(Lag=9,E11,Inputs!$K$48*mAttr))))))))))</f>
        <v>0.63886335883862977</v>
      </c>
      <c r="O9" s="36">
        <f>IF(Lag=0,O11,IF(Lag=1,N11,IF(Lag=2,M11,IF(Lag=3,L11,IF(Lag=4,K11,IF(Lag=5,J11,IF(Lag=6,I11,IF(Lag=7,H11,IF(Lag=8,G11,IF(Lag=9,F11,IF(Lag=10,E11,Inputs!$K$48*mAttr)))))))))))</f>
        <v>0.6501449067046482</v>
      </c>
      <c r="P9" s="36">
        <f>IF(Lag=0,P11,IF(Lag=1,O11,IF(Lag=2,N11,IF(Lag=3,M11,IF(Lag=4,L11,IF(Lag=5,K11,IF(Lag=6,J11,IF(Lag=7,I11,IF(Lag=8,H11,IF(Lag=9,G11,IF(Lag=10,F11,IF(Lag=11,E11,Inputs!$K$48*mAttr))))))))))))</f>
        <v>0.66142153057069175</v>
      </c>
      <c r="Q9" s="44">
        <f>SUM(E9:P9)</f>
        <v>7.090441102009212</v>
      </c>
    </row>
    <row r="10" spans="2:17" x14ac:dyDescent="0.45">
      <c r="B10" t="s">
        <v>469</v>
      </c>
      <c r="C10" s="43" t="s">
        <v>303</v>
      </c>
      <c r="D10" s="15" t="s">
        <v>470</v>
      </c>
      <c r="E10" s="36">
        <f t="shared" ref="E10:P10" si="1">E8+E9</f>
        <v>2.5366666666666666</v>
      </c>
      <c r="F10" s="36">
        <f t="shared" si="1"/>
        <v>2.5366666666666666</v>
      </c>
      <c r="G10" s="36">
        <f t="shared" si="1"/>
        <v>2.5366666666666666</v>
      </c>
      <c r="H10" s="36">
        <f t="shared" si="1"/>
        <v>1.5366666666666666</v>
      </c>
      <c r="I10" s="36">
        <f t="shared" si="1"/>
        <v>1.56</v>
      </c>
      <c r="J10" s="36">
        <f t="shared" si="1"/>
        <v>1.5830611111111113</v>
      </c>
      <c r="K10" s="36">
        <f t="shared" si="1"/>
        <v>1.605853175925926</v>
      </c>
      <c r="L10" s="36">
        <f t="shared" si="1"/>
        <v>1.6167126666512348</v>
      </c>
      <c r="M10" s="36">
        <f t="shared" si="1"/>
        <v>1.6277176855403037</v>
      </c>
      <c r="N10" s="36">
        <f t="shared" si="1"/>
        <v>1.6388633588386297</v>
      </c>
      <c r="O10" s="36">
        <f t="shared" si="1"/>
        <v>1.6501449067046483</v>
      </c>
      <c r="P10" s="36">
        <f t="shared" si="1"/>
        <v>0.66142153057069175</v>
      </c>
      <c r="Q10" s="44">
        <f>SUM(E10:P10)</f>
        <v>21.090441102009216</v>
      </c>
    </row>
    <row r="11" spans="2:17" x14ac:dyDescent="0.45">
      <c r="B11" t="s">
        <v>471</v>
      </c>
      <c r="C11" s="43" t="s">
        <v>303</v>
      </c>
      <c r="D11" s="15" t="s">
        <v>472</v>
      </c>
      <c r="E11" s="36">
        <f t="shared" ref="E11:P11" si="2">E7*mAttr</f>
        <v>0.53666666666666674</v>
      </c>
      <c r="F11" s="36">
        <f t="shared" si="2"/>
        <v>0.56000000000000005</v>
      </c>
      <c r="G11" s="36">
        <f t="shared" si="2"/>
        <v>0.58306111111111114</v>
      </c>
      <c r="H11" s="36">
        <f t="shared" si="2"/>
        <v>0.60585317592592591</v>
      </c>
      <c r="I11" s="36">
        <f t="shared" si="2"/>
        <v>0.6167126666512347</v>
      </c>
      <c r="J11" s="36">
        <f t="shared" si="2"/>
        <v>0.6277176855403036</v>
      </c>
      <c r="K11" s="36">
        <f t="shared" si="2"/>
        <v>0.63886335883862977</v>
      </c>
      <c r="L11" s="36">
        <f t="shared" si="2"/>
        <v>0.6501449067046482</v>
      </c>
      <c r="M11" s="36">
        <f t="shared" si="2"/>
        <v>0.66142153057069175</v>
      </c>
      <c r="N11" s="36">
        <f t="shared" si="2"/>
        <v>0.67269498571200381</v>
      </c>
      <c r="O11" s="36">
        <f t="shared" si="2"/>
        <v>0.68396695006514774</v>
      </c>
      <c r="P11" s="36">
        <f t="shared" si="2"/>
        <v>0.69523902622594191</v>
      </c>
      <c r="Q11" s="44">
        <f>SUM(E11:P11)</f>
        <v>7.5323420640123055</v>
      </c>
    </row>
    <row r="12" spans="2:17" x14ac:dyDescent="0.45">
      <c r="B12" s="4" t="s">
        <v>473</v>
      </c>
      <c r="C12" s="43" t="s">
        <v>303</v>
      </c>
      <c r="D12" s="15" t="s">
        <v>474</v>
      </c>
      <c r="E12" s="44">
        <f t="shared" ref="E12:P12" si="3">E7+E10-E11</f>
        <v>48</v>
      </c>
      <c r="F12" s="44">
        <f t="shared" si="3"/>
        <v>49.976666666666667</v>
      </c>
      <c r="G12" s="44">
        <f t="shared" si="3"/>
        <v>51.930272222222222</v>
      </c>
      <c r="H12" s="44">
        <f t="shared" si="3"/>
        <v>52.861085712962968</v>
      </c>
      <c r="I12" s="44">
        <f t="shared" si="3"/>
        <v>53.804373046311738</v>
      </c>
      <c r="J12" s="44">
        <f t="shared" si="3"/>
        <v>54.759716471882548</v>
      </c>
      <c r="K12" s="44">
        <f t="shared" si="3"/>
        <v>55.726706288969844</v>
      </c>
      <c r="L12" s="44">
        <f t="shared" si="3"/>
        <v>56.693274048916429</v>
      </c>
      <c r="M12" s="44">
        <f t="shared" si="3"/>
        <v>57.659570203886041</v>
      </c>
      <c r="N12" s="44">
        <f t="shared" si="3"/>
        <v>58.625738577012662</v>
      </c>
      <c r="O12" s="44">
        <f t="shared" si="3"/>
        <v>59.59191653365216</v>
      </c>
      <c r="P12" s="44">
        <f t="shared" si="3"/>
        <v>59.558099037996911</v>
      </c>
      <c r="Q12" s="44">
        <f>P12</f>
        <v>59.558099037996911</v>
      </c>
    </row>
    <row r="13" spans="2:17" x14ac:dyDescent="0.45">
      <c r="B13" t="s">
        <v>475</v>
      </c>
      <c r="C13" s="43" t="s">
        <v>303</v>
      </c>
      <c r="D13" s="15" t="s">
        <v>476</v>
      </c>
      <c r="E13" s="36">
        <f t="shared" ref="E13:P13" si="4">E7+E10</f>
        <v>48.536666666666669</v>
      </c>
      <c r="F13" s="36">
        <f t="shared" si="4"/>
        <v>50.536666666666669</v>
      </c>
      <c r="G13" s="36">
        <f t="shared" si="4"/>
        <v>52.513333333333335</v>
      </c>
      <c r="H13" s="36">
        <f t="shared" si="4"/>
        <v>53.46693888888889</v>
      </c>
      <c r="I13" s="36">
        <f t="shared" si="4"/>
        <v>54.42108571296297</v>
      </c>
      <c r="J13" s="36">
        <f t="shared" si="4"/>
        <v>55.387434157422852</v>
      </c>
      <c r="K13" s="36">
        <f t="shared" si="4"/>
        <v>56.365569647808471</v>
      </c>
      <c r="L13" s="36">
        <f t="shared" si="4"/>
        <v>57.343418955621075</v>
      </c>
      <c r="M13" s="36">
        <f t="shared" si="4"/>
        <v>58.320991734456733</v>
      </c>
      <c r="N13" s="36">
        <f t="shared" si="4"/>
        <v>59.298433562724668</v>
      </c>
      <c r="O13" s="36">
        <f t="shared" si="4"/>
        <v>60.275883483717308</v>
      </c>
      <c r="P13" s="36">
        <f t="shared" si="4"/>
        <v>60.253338064222852</v>
      </c>
      <c r="Q13" s="44">
        <f>AVERAGE(E13:P13)</f>
        <v>55.559980072874367</v>
      </c>
    </row>
    <row r="14" spans="2:17" x14ac:dyDescent="0.45">
      <c r="B14" t="s">
        <v>477</v>
      </c>
      <c r="C14" s="43" t="s">
        <v>303</v>
      </c>
      <c r="D14" s="15" t="s">
        <v>478</v>
      </c>
      <c r="E14" s="36">
        <f>SUMPRODUCT($E11:E11,--($E$4:E$4&gt;=E$4-Lag+1))</f>
        <v>0.53666666666666674</v>
      </c>
      <c r="F14" s="36">
        <f>SUMPRODUCT($E11:F11,--($E$4:F$4&gt;=F$4-Lag+1))</f>
        <v>1.0966666666666667</v>
      </c>
      <c r="G14" s="36">
        <f>SUMPRODUCT($E11:G11,--($E$4:G$4&gt;=G$4-Lag+1))</f>
        <v>1.6797277777777779</v>
      </c>
      <c r="H14" s="36">
        <f>SUMPRODUCT($E11:H11,--($E$4:H$4&gt;=H$4-Lag+1))</f>
        <v>1.7489142870370373</v>
      </c>
      <c r="I14" s="36">
        <f>SUMPRODUCT($E11:I11,--($E$4:I$4&gt;=I$4-Lag+1))</f>
        <v>1.8056269536882716</v>
      </c>
      <c r="J14" s="36">
        <f>SUMPRODUCT($E11:J11,--($E$4:J$4&gt;=J$4-Lag+1))</f>
        <v>1.8502835281174641</v>
      </c>
      <c r="K14" s="36">
        <f>SUMPRODUCT($E11:K11,--($E$4:K$4&gt;=K$4-Lag+1))</f>
        <v>1.8832937110301682</v>
      </c>
      <c r="L14" s="36">
        <f>SUMPRODUCT($E11:L11,--($E$4:L$4&gt;=L$4-Lag+1))</f>
        <v>1.9167259510835817</v>
      </c>
      <c r="M14" s="36">
        <f>SUMPRODUCT($E11:M11,--($E$4:M$4&gt;=M$4-Lag+1))</f>
        <v>1.9504297961139696</v>
      </c>
      <c r="N14" s="36">
        <f>SUMPRODUCT($E11:N11,--($E$4:N$4&gt;=N$4-Lag+1))</f>
        <v>1.9842614229873439</v>
      </c>
      <c r="O14" s="36">
        <f>SUMPRODUCT($E11:O11,--($E$4:O$4&gt;=O$4-Lag+1))</f>
        <v>2.0180834663478433</v>
      </c>
      <c r="P14" s="36">
        <f>SUMPRODUCT($E11:P11,--($E$4:P$4&gt;=P$4-Lag+1))</f>
        <v>2.0519009620030935</v>
      </c>
      <c r="Q14" s="44">
        <f>AVERAGE(E14:P14)</f>
        <v>1.7102150991266569</v>
      </c>
    </row>
    <row r="16" spans="2:17" x14ac:dyDescent="0.45">
      <c r="B16" s="4" t="s">
        <v>446</v>
      </c>
    </row>
    <row r="17" spans="2:17" x14ac:dyDescent="0.45">
      <c r="B17" t="s">
        <v>463</v>
      </c>
      <c r="C17" s="43" t="s">
        <v>303</v>
      </c>
      <c r="D17" s="15" t="s">
        <v>464</v>
      </c>
      <c r="E17" s="36">
        <f>Inputs!$K$49</f>
        <v>33</v>
      </c>
      <c r="F17" s="36">
        <f t="shared" ref="F17:P17" si="5">E22</f>
        <v>34</v>
      </c>
      <c r="G17" s="36">
        <f t="shared" si="5"/>
        <v>34.98833333333333</v>
      </c>
      <c r="H17" s="36">
        <f t="shared" si="5"/>
        <v>35.965136111111107</v>
      </c>
      <c r="I17" s="36">
        <f t="shared" si="5"/>
        <v>36.930542856481473</v>
      </c>
      <c r="J17" s="36">
        <f t="shared" si="5"/>
        <v>37.896353189822527</v>
      </c>
      <c r="K17" s="36">
        <f t="shared" si="5"/>
        <v>38.862426291496817</v>
      </c>
      <c r="L17" s="36">
        <f t="shared" si="5"/>
        <v>39.828624572725651</v>
      </c>
      <c r="M17" s="36">
        <f t="shared" si="5"/>
        <v>40.794813619369464</v>
      </c>
      <c r="N17" s="36">
        <f t="shared" si="5"/>
        <v>40.760998247691418</v>
      </c>
      <c r="O17" s="36">
        <f t="shared" si="5"/>
        <v>40.738848241535813</v>
      </c>
      <c r="P17" s="36">
        <f t="shared" si="5"/>
        <v>40.728228965399694</v>
      </c>
      <c r="Q17" s="44">
        <f>E17</f>
        <v>33</v>
      </c>
    </row>
    <row r="18" spans="2:17" x14ac:dyDescent="0.45">
      <c r="B18" t="s">
        <v>465</v>
      </c>
      <c r="C18" s="43" t="s">
        <v>303</v>
      </c>
      <c r="D18" s="15" t="s">
        <v>466</v>
      </c>
      <c r="E18" s="36">
        <f>Hires!E17</f>
        <v>1</v>
      </c>
      <c r="F18" s="36">
        <f>Hires!F17</f>
        <v>1</v>
      </c>
      <c r="G18" s="36">
        <f>Hires!G17</f>
        <v>1</v>
      </c>
      <c r="H18" s="36">
        <f>Hires!H17</f>
        <v>1</v>
      </c>
      <c r="I18" s="36">
        <f>Hires!I17</f>
        <v>1</v>
      </c>
      <c r="J18" s="36">
        <f>Hires!J17</f>
        <v>1</v>
      </c>
      <c r="K18" s="36">
        <f>Hires!K17</f>
        <v>1</v>
      </c>
      <c r="L18" s="36">
        <f>Hires!L17</f>
        <v>1</v>
      </c>
      <c r="M18" s="36">
        <f>Hires!M17</f>
        <v>0</v>
      </c>
      <c r="N18" s="36">
        <f>Hires!N17</f>
        <v>0</v>
      </c>
      <c r="O18" s="36">
        <f>Hires!O17</f>
        <v>0</v>
      </c>
      <c r="P18" s="36">
        <f>Hires!P17</f>
        <v>0</v>
      </c>
      <c r="Q18" s="44">
        <f>SUM(E18:P18)</f>
        <v>8</v>
      </c>
    </row>
    <row r="19" spans="2:17" x14ac:dyDescent="0.45">
      <c r="B19" t="s">
        <v>467</v>
      </c>
      <c r="C19" s="43" t="s">
        <v>303</v>
      </c>
      <c r="D19" s="15" t="s">
        <v>468</v>
      </c>
      <c r="E19" s="36">
        <f>IF(Lag=0,E21,Inputs!$K$49*mAttr)</f>
        <v>0.38500000000000001</v>
      </c>
      <c r="F19" s="36">
        <f>IF(Lag=0,F21,IF(Lag=1,E21,Inputs!$K$49*mAttr))</f>
        <v>0.38500000000000001</v>
      </c>
      <c r="G19" s="36">
        <f>IF(Lag=0,G21,IF(Lag=1,F21,IF(Lag=2,E21,Inputs!$K$49*mAttr)))</f>
        <v>0.38500000000000001</v>
      </c>
      <c r="H19" s="36">
        <f>IF(Lag=0,H21,IF(Lag=1,G21,IF(Lag=2,F21,IF(Lag=3,E21,Inputs!$K$49*mAttr))))</f>
        <v>0.38500000000000001</v>
      </c>
      <c r="I19" s="36">
        <f>IF(Lag=0,I21,IF(Lag=1,H21,IF(Lag=2,G21,IF(Lag=3,F21,IF(Lag=4,E21,Inputs!$K$49*mAttr)))))</f>
        <v>0.39666666666666667</v>
      </c>
      <c r="J19" s="36">
        <f>IF(Lag=0,J21,IF(Lag=1,I21,IF(Lag=2,H21,IF(Lag=3,G21,IF(Lag=4,F21,IF(Lag=5,E21,Inputs!$K$49*mAttr))))))</f>
        <v>0.40819722222222221</v>
      </c>
      <c r="K19" s="36">
        <f>IF(Lag=0,K21,IF(Lag=1,J21,IF(Lag=2,I21,IF(Lag=3,H21,IF(Lag=4,G21,IF(Lag=5,F21,IF(Lag=6,E21,Inputs!$K$49*mAttr)))))))</f>
        <v>0.4195932546296296</v>
      </c>
      <c r="L19" s="36">
        <f>IF(Lag=0,L21,IF(Lag=1,K21,IF(Lag=2,J21,IF(Lag=3,I21,IF(Lag=4,H21,IF(Lag=5,G21,IF(Lag=6,F21,IF(Lag=7,E21,Inputs!$K$49*mAttr))))))))</f>
        <v>0.43085633332561724</v>
      </c>
      <c r="M19" s="36">
        <f>IF(Lag=0,M21,IF(Lag=1,L21,IF(Lag=2,K21,IF(Lag=3,J21,IF(Lag=4,I21,IF(Lag=5,H21,IF(Lag=6,G21,IF(Lag=7,F21,IF(Lag=8,E21,Inputs!$K$49*mAttr)))))))))</f>
        <v>0.44212412054792949</v>
      </c>
      <c r="N19" s="36">
        <f>IF(Lag=0,N21,IF(Lag=1,M21,IF(Lag=2,L21,IF(Lag=3,K21,IF(Lag=4,J21,IF(Lag=5,I21,IF(Lag=6,H21,IF(Lag=7,G21,IF(Lag=8,F21,IF(Lag=9,E21,Inputs!$K$49*mAttr))))))))))</f>
        <v>0.45339497340079621</v>
      </c>
      <c r="O19" s="36">
        <f>IF(Lag=0,O21,IF(Lag=1,N21,IF(Lag=2,M21,IF(Lag=3,L21,IF(Lag=4,K21,IF(Lag=5,J21,IF(Lag=6,I21,IF(Lag=7,H21,IF(Lag=8,G21,IF(Lag=9,F21,IF(Lag=10,E21,Inputs!$K$49*mAttr)))))))))))</f>
        <v>0.4646672866817993</v>
      </c>
      <c r="P19" s="36">
        <f>IF(Lag=0,P21,IF(Lag=1,O21,IF(Lag=2,N21,IF(Lag=3,M21,IF(Lag=4,L21,IF(Lag=5,K21,IF(Lag=6,J21,IF(Lag=7,I21,IF(Lag=8,H21,IF(Lag=9,G21,IF(Lag=10,F21,IF(Lag=11,E21,Inputs!$K$49*mAttr))))))))))))</f>
        <v>0.47593949222597709</v>
      </c>
      <c r="Q19" s="44">
        <f>SUM(E19:P19)</f>
        <v>5.031439349700638</v>
      </c>
    </row>
    <row r="20" spans="2:17" x14ac:dyDescent="0.45">
      <c r="B20" t="s">
        <v>469</v>
      </c>
      <c r="C20" s="43" t="s">
        <v>303</v>
      </c>
      <c r="D20" s="15" t="s">
        <v>470</v>
      </c>
      <c r="E20" s="36">
        <f t="shared" ref="E20:P20" si="6">E18+E19</f>
        <v>1.385</v>
      </c>
      <c r="F20" s="36">
        <f t="shared" si="6"/>
        <v>1.385</v>
      </c>
      <c r="G20" s="36">
        <f t="shared" si="6"/>
        <v>1.385</v>
      </c>
      <c r="H20" s="36">
        <f t="shared" si="6"/>
        <v>1.385</v>
      </c>
      <c r="I20" s="36">
        <f t="shared" si="6"/>
        <v>1.3966666666666667</v>
      </c>
      <c r="J20" s="36">
        <f t="shared" si="6"/>
        <v>1.4081972222222223</v>
      </c>
      <c r="K20" s="36">
        <f t="shared" si="6"/>
        <v>1.4195932546296297</v>
      </c>
      <c r="L20" s="36">
        <f t="shared" si="6"/>
        <v>1.4308563333256172</v>
      </c>
      <c r="M20" s="36">
        <f t="shared" si="6"/>
        <v>0.44212412054792949</v>
      </c>
      <c r="N20" s="36">
        <f t="shared" si="6"/>
        <v>0.45339497340079621</v>
      </c>
      <c r="O20" s="36">
        <f t="shared" si="6"/>
        <v>0.4646672866817993</v>
      </c>
      <c r="P20" s="36">
        <f t="shared" si="6"/>
        <v>0.47593949222597709</v>
      </c>
      <c r="Q20" s="44">
        <f>SUM(E20:P20)</f>
        <v>13.031439349700635</v>
      </c>
    </row>
    <row r="21" spans="2:17" x14ac:dyDescent="0.45">
      <c r="B21" t="s">
        <v>471</v>
      </c>
      <c r="C21" s="43" t="s">
        <v>303</v>
      </c>
      <c r="D21" s="15" t="s">
        <v>472</v>
      </c>
      <c r="E21" s="36">
        <f t="shared" ref="E21:P21" si="7">E17*mAttr</f>
        <v>0.38500000000000001</v>
      </c>
      <c r="F21" s="36">
        <f t="shared" si="7"/>
        <v>0.39666666666666667</v>
      </c>
      <c r="G21" s="36">
        <f t="shared" si="7"/>
        <v>0.40819722222222221</v>
      </c>
      <c r="H21" s="36">
        <f t="shared" si="7"/>
        <v>0.4195932546296296</v>
      </c>
      <c r="I21" s="36">
        <f t="shared" si="7"/>
        <v>0.43085633332561724</v>
      </c>
      <c r="J21" s="36">
        <f t="shared" si="7"/>
        <v>0.44212412054792949</v>
      </c>
      <c r="K21" s="36">
        <f t="shared" si="7"/>
        <v>0.45339497340079621</v>
      </c>
      <c r="L21" s="36">
        <f t="shared" si="7"/>
        <v>0.4646672866817993</v>
      </c>
      <c r="M21" s="36">
        <f t="shared" si="7"/>
        <v>0.47593949222597709</v>
      </c>
      <c r="N21" s="36">
        <f t="shared" si="7"/>
        <v>0.4755449795563999</v>
      </c>
      <c r="O21" s="36">
        <f t="shared" si="7"/>
        <v>0.47528656281791781</v>
      </c>
      <c r="P21" s="36">
        <f t="shared" si="7"/>
        <v>0.47516267126299644</v>
      </c>
      <c r="Q21" s="44">
        <f>SUM(E21:P21)</f>
        <v>5.3024335633379529</v>
      </c>
    </row>
    <row r="22" spans="2:17" x14ac:dyDescent="0.45">
      <c r="B22" s="4" t="s">
        <v>473</v>
      </c>
      <c r="C22" s="43" t="s">
        <v>303</v>
      </c>
      <c r="D22" s="15" t="s">
        <v>474</v>
      </c>
      <c r="E22" s="44">
        <f t="shared" ref="E22:P22" si="8">E17+E20-E21</f>
        <v>34</v>
      </c>
      <c r="F22" s="44">
        <f t="shared" si="8"/>
        <v>34.98833333333333</v>
      </c>
      <c r="G22" s="44">
        <f t="shared" si="8"/>
        <v>35.965136111111107</v>
      </c>
      <c r="H22" s="44">
        <f t="shared" si="8"/>
        <v>36.930542856481473</v>
      </c>
      <c r="I22" s="44">
        <f t="shared" si="8"/>
        <v>37.896353189822527</v>
      </c>
      <c r="J22" s="44">
        <f t="shared" si="8"/>
        <v>38.862426291496817</v>
      </c>
      <c r="K22" s="44">
        <f t="shared" si="8"/>
        <v>39.828624572725651</v>
      </c>
      <c r="L22" s="44">
        <f t="shared" si="8"/>
        <v>40.794813619369464</v>
      </c>
      <c r="M22" s="44">
        <f t="shared" si="8"/>
        <v>40.760998247691418</v>
      </c>
      <c r="N22" s="44">
        <f t="shared" si="8"/>
        <v>40.738848241535813</v>
      </c>
      <c r="O22" s="44">
        <f t="shared" si="8"/>
        <v>40.728228965399694</v>
      </c>
      <c r="P22" s="44">
        <f t="shared" si="8"/>
        <v>40.72900578636267</v>
      </c>
      <c r="Q22" s="44">
        <f>P22</f>
        <v>40.72900578636267</v>
      </c>
    </row>
    <row r="23" spans="2:17" x14ac:dyDescent="0.45">
      <c r="B23" t="s">
        <v>475</v>
      </c>
      <c r="C23" s="43" t="s">
        <v>303</v>
      </c>
      <c r="D23" s="15" t="s">
        <v>476</v>
      </c>
      <c r="E23" s="36">
        <f t="shared" ref="E23:P23" si="9">E17+E20</f>
        <v>34.384999999999998</v>
      </c>
      <c r="F23" s="36">
        <f t="shared" si="9"/>
        <v>35.384999999999998</v>
      </c>
      <c r="G23" s="36">
        <f t="shared" si="9"/>
        <v>36.373333333333328</v>
      </c>
      <c r="H23" s="36">
        <f t="shared" si="9"/>
        <v>37.350136111111105</v>
      </c>
      <c r="I23" s="36">
        <f t="shared" si="9"/>
        <v>38.327209523148142</v>
      </c>
      <c r="J23" s="36">
        <f t="shared" si="9"/>
        <v>39.304550412044748</v>
      </c>
      <c r="K23" s="36">
        <f t="shared" si="9"/>
        <v>40.282019546126449</v>
      </c>
      <c r="L23" s="36">
        <f t="shared" si="9"/>
        <v>41.259480906051266</v>
      </c>
      <c r="M23" s="36">
        <f t="shared" si="9"/>
        <v>41.236937739917394</v>
      </c>
      <c r="N23" s="36">
        <f t="shared" si="9"/>
        <v>41.214393221092216</v>
      </c>
      <c r="O23" s="36">
        <f t="shared" si="9"/>
        <v>41.203515528217615</v>
      </c>
      <c r="P23" s="36">
        <f t="shared" si="9"/>
        <v>41.20416845762567</v>
      </c>
      <c r="Q23" s="44">
        <f>AVERAGE(E23:P23)</f>
        <v>38.960478731555661</v>
      </c>
    </row>
    <row r="24" spans="2:17" x14ac:dyDescent="0.45">
      <c r="B24" t="s">
        <v>477</v>
      </c>
      <c r="C24" s="43" t="s">
        <v>303</v>
      </c>
      <c r="D24" s="15" t="s">
        <v>478</v>
      </c>
      <c r="E24" s="36">
        <f>SUMPRODUCT($E21:E21,--($E$4:E$4&gt;=E$4-Lag+1))</f>
        <v>0.38500000000000001</v>
      </c>
      <c r="F24" s="36">
        <f>SUMPRODUCT($E21:F21,--($E$4:F$4&gt;=F$4-Lag+1))</f>
        <v>0.78166666666666673</v>
      </c>
      <c r="G24" s="36">
        <f>SUMPRODUCT($E21:G21,--($E$4:G$4&gt;=G$4-Lag+1))</f>
        <v>1.1898638888888891</v>
      </c>
      <c r="H24" s="36">
        <f>SUMPRODUCT($E21:H21,--($E$4:H$4&gt;=H$4-Lag+1))</f>
        <v>1.2244571435185185</v>
      </c>
      <c r="I24" s="36">
        <f>SUMPRODUCT($E21:I21,--($E$4:I$4&gt;=I$4-Lag+1))</f>
        <v>1.258646810177469</v>
      </c>
      <c r="J24" s="36">
        <f>SUMPRODUCT($E21:J21,--($E$4:J$4&gt;=J$4-Lag+1))</f>
        <v>1.2925737085031763</v>
      </c>
      <c r="K24" s="36">
        <f>SUMPRODUCT($E21:K21,--($E$4:K$4&gt;=K$4-Lag+1))</f>
        <v>1.3263754272743429</v>
      </c>
      <c r="L24" s="36">
        <f>SUMPRODUCT($E21:L21,--($E$4:L$4&gt;=L$4-Lag+1))</f>
        <v>1.360186380630525</v>
      </c>
      <c r="M24" s="36">
        <f>SUMPRODUCT($E21:M21,--($E$4:M$4&gt;=M$4-Lag+1))</f>
        <v>1.3940017523085726</v>
      </c>
      <c r="N24" s="36">
        <f>SUMPRODUCT($E21:N21,--($E$4:N$4&gt;=N$4-Lag+1))</f>
        <v>1.4161517584641763</v>
      </c>
      <c r="O24" s="36">
        <f>SUMPRODUCT($E21:O21,--($E$4:O$4&gt;=O$4-Lag+1))</f>
        <v>1.4267710346002946</v>
      </c>
      <c r="P24" s="36">
        <f>SUMPRODUCT($E21:P21,--($E$4:P$4&gt;=P$4-Lag+1))</f>
        <v>1.425994213637314</v>
      </c>
      <c r="Q24" s="44">
        <f>AVERAGE(E24:P24)</f>
        <v>1.2068073987224952</v>
      </c>
    </row>
    <row r="26" spans="2:17" x14ac:dyDescent="0.45">
      <c r="B26" s="4" t="s">
        <v>447</v>
      </c>
    </row>
    <row r="27" spans="2:17" x14ac:dyDescent="0.45">
      <c r="B27" t="s">
        <v>463</v>
      </c>
      <c r="C27" s="43" t="s">
        <v>303</v>
      </c>
      <c r="D27" s="15" t="s">
        <v>464</v>
      </c>
      <c r="E27" s="36">
        <f>Inputs!$K$50</f>
        <v>11</v>
      </c>
      <c r="F27" s="36">
        <f t="shared" ref="F27:P27" si="10">E32</f>
        <v>11</v>
      </c>
      <c r="G27" s="36">
        <f t="shared" si="10"/>
        <v>12</v>
      </c>
      <c r="H27" s="36">
        <f t="shared" si="10"/>
        <v>11.988333333333333</v>
      </c>
      <c r="I27" s="36">
        <f t="shared" si="10"/>
        <v>11.976802777777777</v>
      </c>
      <c r="J27" s="36">
        <f t="shared" si="10"/>
        <v>11.965406745370371</v>
      </c>
      <c r="K27" s="36">
        <f t="shared" si="10"/>
        <v>11.96581033334105</v>
      </c>
      <c r="L27" s="36">
        <f t="shared" si="10"/>
        <v>12.966073101674294</v>
      </c>
      <c r="M27" s="36">
        <f t="shared" si="10"/>
        <v>12.954531614562168</v>
      </c>
      <c r="N27" s="36">
        <f t="shared" si="10"/>
        <v>12.942991824421597</v>
      </c>
      <c r="O27" s="36">
        <f t="shared" si="10"/>
        <v>12.931591373692324</v>
      </c>
      <c r="P27" s="36">
        <f t="shared" si="10"/>
        <v>12.93199366051878</v>
      </c>
      <c r="Q27" s="44">
        <f>E27</f>
        <v>11</v>
      </c>
    </row>
    <row r="28" spans="2:17" x14ac:dyDescent="0.45">
      <c r="B28" t="s">
        <v>465</v>
      </c>
      <c r="C28" s="43" t="s">
        <v>303</v>
      </c>
      <c r="D28" s="15" t="s">
        <v>466</v>
      </c>
      <c r="E28" s="36">
        <f>Hires!E24</f>
        <v>0</v>
      </c>
      <c r="F28" s="36">
        <f>Hires!F24</f>
        <v>1</v>
      </c>
      <c r="G28" s="36">
        <f>Hires!G24</f>
        <v>0</v>
      </c>
      <c r="H28" s="36">
        <f>Hires!H24</f>
        <v>0</v>
      </c>
      <c r="I28" s="36">
        <f>Hires!I24</f>
        <v>0</v>
      </c>
      <c r="J28" s="36">
        <f>Hires!J24</f>
        <v>0</v>
      </c>
      <c r="K28" s="36">
        <f>Hires!K24</f>
        <v>1</v>
      </c>
      <c r="L28" s="36">
        <f>Hires!L24</f>
        <v>0</v>
      </c>
      <c r="M28" s="36">
        <f>Hires!M24</f>
        <v>0</v>
      </c>
      <c r="N28" s="36">
        <f>Hires!N24</f>
        <v>0</v>
      </c>
      <c r="O28" s="36">
        <f>Hires!O24</f>
        <v>0</v>
      </c>
      <c r="P28" s="36">
        <f>Hires!P24</f>
        <v>0</v>
      </c>
      <c r="Q28" s="44">
        <f>SUM(E28:P28)</f>
        <v>2</v>
      </c>
    </row>
    <row r="29" spans="2:17" x14ac:dyDescent="0.45">
      <c r="B29" t="s">
        <v>467</v>
      </c>
      <c r="C29" s="43" t="s">
        <v>303</v>
      </c>
      <c r="D29" s="15" t="s">
        <v>468</v>
      </c>
      <c r="E29" s="36">
        <f>IF(Lag=0,E31,Inputs!$K$50*mAttr)</f>
        <v>0.12833333333333333</v>
      </c>
      <c r="F29" s="36">
        <f>IF(Lag=0,F31,IF(Lag=1,E31,Inputs!$K$50*mAttr))</f>
        <v>0.12833333333333333</v>
      </c>
      <c r="G29" s="36">
        <f>IF(Lag=0,G31,IF(Lag=1,F31,IF(Lag=2,E31,Inputs!$K$50*mAttr)))</f>
        <v>0.12833333333333333</v>
      </c>
      <c r="H29" s="36">
        <f>IF(Lag=0,H31,IF(Lag=1,G31,IF(Lag=2,F31,IF(Lag=3,E31,Inputs!$K$50*mAttr))))</f>
        <v>0.12833333333333333</v>
      </c>
      <c r="I29" s="36">
        <f>IF(Lag=0,I31,IF(Lag=1,H31,IF(Lag=2,G31,IF(Lag=3,F31,IF(Lag=4,E31,Inputs!$K$50*mAttr)))))</f>
        <v>0.12833333333333333</v>
      </c>
      <c r="J29" s="36">
        <f>IF(Lag=0,J31,IF(Lag=1,I31,IF(Lag=2,H31,IF(Lag=3,G31,IF(Lag=4,F31,IF(Lag=5,E31,Inputs!$K$50*mAttr))))))</f>
        <v>0.14000000000000001</v>
      </c>
      <c r="K29" s="36">
        <f>IF(Lag=0,K31,IF(Lag=1,J31,IF(Lag=2,I31,IF(Lag=3,H31,IF(Lag=4,G31,IF(Lag=5,F31,IF(Lag=6,E31,Inputs!$K$50*mAttr)))))))</f>
        <v>0.1398638888888889</v>
      </c>
      <c r="L29" s="36">
        <f>IF(Lag=0,L31,IF(Lag=1,K31,IF(Lag=2,J31,IF(Lag=3,I31,IF(Lag=4,H31,IF(Lag=5,G31,IF(Lag=6,F31,IF(Lag=7,E31,Inputs!$K$50*mAttr))))))))</f>
        <v>0.13972936574074074</v>
      </c>
      <c r="M29" s="36">
        <f>IF(Lag=0,M31,IF(Lag=1,L31,IF(Lag=2,K31,IF(Lag=3,J31,IF(Lag=4,I31,IF(Lag=5,H31,IF(Lag=6,G31,IF(Lag=7,F31,IF(Lag=8,E31,Inputs!$K$50*mAttr)))))))))</f>
        <v>0.13959641202932099</v>
      </c>
      <c r="N29" s="36">
        <f>IF(Lag=0,N31,IF(Lag=1,M31,IF(Lag=2,L31,IF(Lag=3,K31,IF(Lag=4,J31,IF(Lag=5,I31,IF(Lag=6,H31,IF(Lag=7,G31,IF(Lag=8,F31,IF(Lag=9,E31,Inputs!$K$50*mAttr))))))))))</f>
        <v>0.13960112055564558</v>
      </c>
      <c r="O29" s="36">
        <f>IF(Lag=0,O31,IF(Lag=1,N31,IF(Lag=2,M31,IF(Lag=3,L31,IF(Lag=4,K31,IF(Lag=5,J31,IF(Lag=6,I31,IF(Lag=7,H31,IF(Lag=8,G31,IF(Lag=9,F31,IF(Lag=10,E31,Inputs!$K$50*mAttr)))))))))))</f>
        <v>0.15127085285286676</v>
      </c>
      <c r="P29" s="36">
        <f>IF(Lag=0,P31,IF(Lag=1,O31,IF(Lag=2,N31,IF(Lag=3,M31,IF(Lag=4,L31,IF(Lag=5,K31,IF(Lag=6,J31,IF(Lag=7,I31,IF(Lag=8,H31,IF(Lag=9,G31,IF(Lag=10,F31,IF(Lag=11,E31,Inputs!$K$50*mAttr))))))))))))</f>
        <v>0.15113620216989196</v>
      </c>
      <c r="Q29" s="44">
        <f>SUM(E29:P29)</f>
        <v>1.6428645089040215</v>
      </c>
    </row>
    <row r="30" spans="2:17" x14ac:dyDescent="0.45">
      <c r="B30" t="s">
        <v>469</v>
      </c>
      <c r="C30" s="43" t="s">
        <v>303</v>
      </c>
      <c r="D30" s="15" t="s">
        <v>470</v>
      </c>
      <c r="E30" s="36">
        <f t="shared" ref="E30:P30" si="11">E28+E29</f>
        <v>0.12833333333333333</v>
      </c>
      <c r="F30" s="36">
        <f t="shared" si="11"/>
        <v>1.1283333333333334</v>
      </c>
      <c r="G30" s="36">
        <f t="shared" si="11"/>
        <v>0.12833333333333333</v>
      </c>
      <c r="H30" s="36">
        <f t="shared" si="11"/>
        <v>0.12833333333333333</v>
      </c>
      <c r="I30" s="36">
        <f t="shared" si="11"/>
        <v>0.12833333333333333</v>
      </c>
      <c r="J30" s="36">
        <f t="shared" si="11"/>
        <v>0.14000000000000001</v>
      </c>
      <c r="K30" s="36">
        <f t="shared" si="11"/>
        <v>1.1398638888888888</v>
      </c>
      <c r="L30" s="36">
        <f t="shared" si="11"/>
        <v>0.13972936574074074</v>
      </c>
      <c r="M30" s="36">
        <f t="shared" si="11"/>
        <v>0.13959641202932099</v>
      </c>
      <c r="N30" s="36">
        <f t="shared" si="11"/>
        <v>0.13960112055564558</v>
      </c>
      <c r="O30" s="36">
        <f t="shared" si="11"/>
        <v>0.15127085285286676</v>
      </c>
      <c r="P30" s="36">
        <f t="shared" si="11"/>
        <v>0.15113620216989196</v>
      </c>
      <c r="Q30" s="44">
        <f>SUM(E30:P30)</f>
        <v>3.6428645089040224</v>
      </c>
    </row>
    <row r="31" spans="2:17" x14ac:dyDescent="0.45">
      <c r="B31" t="s">
        <v>471</v>
      </c>
      <c r="C31" s="43" t="s">
        <v>303</v>
      </c>
      <c r="D31" s="15" t="s">
        <v>472</v>
      </c>
      <c r="E31" s="36">
        <f t="shared" ref="E31:P31" si="12">E27*mAttr</f>
        <v>0.12833333333333333</v>
      </c>
      <c r="F31" s="36">
        <f t="shared" si="12"/>
        <v>0.12833333333333333</v>
      </c>
      <c r="G31" s="36">
        <f t="shared" si="12"/>
        <v>0.14000000000000001</v>
      </c>
      <c r="H31" s="36">
        <f t="shared" si="12"/>
        <v>0.1398638888888889</v>
      </c>
      <c r="I31" s="36">
        <f t="shared" si="12"/>
        <v>0.13972936574074074</v>
      </c>
      <c r="J31" s="36">
        <f t="shared" si="12"/>
        <v>0.13959641202932099</v>
      </c>
      <c r="K31" s="36">
        <f t="shared" si="12"/>
        <v>0.13960112055564558</v>
      </c>
      <c r="L31" s="36">
        <f t="shared" si="12"/>
        <v>0.15127085285286676</v>
      </c>
      <c r="M31" s="36">
        <f t="shared" si="12"/>
        <v>0.15113620216989196</v>
      </c>
      <c r="N31" s="36">
        <f t="shared" si="12"/>
        <v>0.15100157128491865</v>
      </c>
      <c r="O31" s="36">
        <f t="shared" si="12"/>
        <v>0.15086856602641047</v>
      </c>
      <c r="P31" s="36">
        <f t="shared" si="12"/>
        <v>0.15087325937271912</v>
      </c>
      <c r="Q31" s="44">
        <f>SUM(E31:P31)</f>
        <v>1.7106079055880696</v>
      </c>
    </row>
    <row r="32" spans="2:17" x14ac:dyDescent="0.45">
      <c r="B32" s="4" t="s">
        <v>473</v>
      </c>
      <c r="C32" s="43" t="s">
        <v>303</v>
      </c>
      <c r="D32" s="15" t="s">
        <v>474</v>
      </c>
      <c r="E32" s="44">
        <f t="shared" ref="E32:P32" si="13">E27+E30-E31</f>
        <v>11</v>
      </c>
      <c r="F32" s="44">
        <f t="shared" si="13"/>
        <v>12</v>
      </c>
      <c r="G32" s="44">
        <f t="shared" si="13"/>
        <v>11.988333333333333</v>
      </c>
      <c r="H32" s="44">
        <f t="shared" si="13"/>
        <v>11.976802777777777</v>
      </c>
      <c r="I32" s="44">
        <f t="shared" si="13"/>
        <v>11.965406745370371</v>
      </c>
      <c r="J32" s="44">
        <f t="shared" si="13"/>
        <v>11.96581033334105</v>
      </c>
      <c r="K32" s="44">
        <f t="shared" si="13"/>
        <v>12.966073101674294</v>
      </c>
      <c r="L32" s="44">
        <f t="shared" si="13"/>
        <v>12.954531614562168</v>
      </c>
      <c r="M32" s="44">
        <f t="shared" si="13"/>
        <v>12.942991824421597</v>
      </c>
      <c r="N32" s="44">
        <f t="shared" si="13"/>
        <v>12.931591373692324</v>
      </c>
      <c r="O32" s="44">
        <f t="shared" si="13"/>
        <v>12.93199366051878</v>
      </c>
      <c r="P32" s="44">
        <f t="shared" si="13"/>
        <v>12.932256603315953</v>
      </c>
      <c r="Q32" s="44">
        <f>P32</f>
        <v>12.932256603315953</v>
      </c>
    </row>
    <row r="33" spans="2:17" x14ac:dyDescent="0.45">
      <c r="B33" t="s">
        <v>475</v>
      </c>
      <c r="C33" s="43" t="s">
        <v>303</v>
      </c>
      <c r="D33" s="15" t="s">
        <v>476</v>
      </c>
      <c r="E33" s="36">
        <f t="shared" ref="E33:P33" si="14">E27+E30</f>
        <v>11.128333333333334</v>
      </c>
      <c r="F33" s="36">
        <f t="shared" si="14"/>
        <v>12.128333333333334</v>
      </c>
      <c r="G33" s="36">
        <f t="shared" si="14"/>
        <v>12.128333333333334</v>
      </c>
      <c r="H33" s="36">
        <f t="shared" si="14"/>
        <v>12.116666666666667</v>
      </c>
      <c r="I33" s="36">
        <f t="shared" si="14"/>
        <v>12.105136111111111</v>
      </c>
      <c r="J33" s="36">
        <f t="shared" si="14"/>
        <v>12.105406745370372</v>
      </c>
      <c r="K33" s="36">
        <f t="shared" si="14"/>
        <v>13.10567422222994</v>
      </c>
      <c r="L33" s="36">
        <f t="shared" si="14"/>
        <v>13.105802467415034</v>
      </c>
      <c r="M33" s="36">
        <f t="shared" si="14"/>
        <v>13.094128026591489</v>
      </c>
      <c r="N33" s="36">
        <f t="shared" si="14"/>
        <v>13.082592944977243</v>
      </c>
      <c r="O33" s="36">
        <f t="shared" si="14"/>
        <v>13.08286222654519</v>
      </c>
      <c r="P33" s="36">
        <f t="shared" si="14"/>
        <v>13.083129862688672</v>
      </c>
      <c r="Q33" s="44">
        <f>AVERAGE(E33:P33)</f>
        <v>12.522199939466311</v>
      </c>
    </row>
    <row r="34" spans="2:17" x14ac:dyDescent="0.45">
      <c r="B34" t="s">
        <v>477</v>
      </c>
      <c r="C34" s="43" t="s">
        <v>303</v>
      </c>
      <c r="D34" s="15" t="s">
        <v>478</v>
      </c>
      <c r="E34" s="36">
        <f>SUMPRODUCT($E31:E31,--($E$4:E$4&gt;=E$4-Lag+1))</f>
        <v>0.12833333333333333</v>
      </c>
      <c r="F34" s="36">
        <f>SUMPRODUCT($E31:F31,--($E$4:F$4&gt;=F$4-Lag+1))</f>
        <v>0.25666666666666665</v>
      </c>
      <c r="G34" s="36">
        <f>SUMPRODUCT($E31:G31,--($E$4:G$4&gt;=G$4-Lag+1))</f>
        <v>0.39666666666666667</v>
      </c>
      <c r="H34" s="36">
        <f>SUMPRODUCT($E31:H31,--($E$4:H$4&gt;=H$4-Lag+1))</f>
        <v>0.40819722222222221</v>
      </c>
      <c r="I34" s="36">
        <f>SUMPRODUCT($E31:I31,--($E$4:I$4&gt;=I$4-Lag+1))</f>
        <v>0.41959325462962965</v>
      </c>
      <c r="J34" s="36">
        <f>SUMPRODUCT($E31:J31,--($E$4:J$4&gt;=J$4-Lag+1))</f>
        <v>0.41918966665895063</v>
      </c>
      <c r="K34" s="36">
        <f>SUMPRODUCT($E31:K31,--($E$4:K$4&gt;=K$4-Lag+1))</f>
        <v>0.41892689832570729</v>
      </c>
      <c r="L34" s="36">
        <f>SUMPRODUCT($E31:L31,--($E$4:L$4&gt;=L$4-Lag+1))</f>
        <v>0.43046838543783339</v>
      </c>
      <c r="M34" s="36">
        <f>SUMPRODUCT($E31:M31,--($E$4:M$4&gt;=M$4-Lag+1))</f>
        <v>0.44200817557840433</v>
      </c>
      <c r="N34" s="36">
        <f>SUMPRODUCT($E31:N31,--($E$4:N$4&gt;=N$4-Lag+1))</f>
        <v>0.45340862630767736</v>
      </c>
      <c r="O34" s="36">
        <f>SUMPRODUCT($E31:O31,--($E$4:O$4&gt;=O$4-Lag+1))</f>
        <v>0.4530063394812211</v>
      </c>
      <c r="P34" s="36">
        <f>SUMPRODUCT($E31:P31,--($E$4:P$4&gt;=P$4-Lag+1))</f>
        <v>0.45274339668404823</v>
      </c>
      <c r="Q34" s="44">
        <f>AVERAGE(E34:P34)</f>
        <v>0.38993405266603004</v>
      </c>
    </row>
    <row r="36" spans="2:17" x14ac:dyDescent="0.45">
      <c r="B36" s="4" t="s">
        <v>448</v>
      </c>
    </row>
    <row r="37" spans="2:17" x14ac:dyDescent="0.45">
      <c r="B37" t="s">
        <v>463</v>
      </c>
      <c r="C37" s="43" t="s">
        <v>314</v>
      </c>
      <c r="D37" s="15" t="s">
        <v>464</v>
      </c>
      <c r="E37" s="36">
        <f>Inputs!$K$51</f>
        <v>20</v>
      </c>
      <c r="F37" s="36">
        <f t="shared" ref="F37:P37" si="15">E42</f>
        <v>21</v>
      </c>
      <c r="G37" s="36">
        <f t="shared" si="15"/>
        <v>20.988333333333333</v>
      </c>
      <c r="H37" s="36">
        <f t="shared" si="15"/>
        <v>20.976802777777777</v>
      </c>
      <c r="I37" s="36">
        <f t="shared" si="15"/>
        <v>21.96540674537037</v>
      </c>
      <c r="J37" s="36">
        <f t="shared" si="15"/>
        <v>21.954143666674383</v>
      </c>
      <c r="K37" s="36">
        <f t="shared" si="15"/>
        <v>21.942875879452071</v>
      </c>
      <c r="L37" s="36">
        <f t="shared" si="15"/>
        <v>22.931605026599204</v>
      </c>
      <c r="M37" s="36">
        <f t="shared" si="15"/>
        <v>22.920332713318199</v>
      </c>
      <c r="N37" s="36">
        <f t="shared" si="15"/>
        <v>22.909060507774022</v>
      </c>
      <c r="O37" s="36">
        <f t="shared" si="15"/>
        <v>23.897788353776932</v>
      </c>
      <c r="P37" s="36">
        <f t="shared" si="15"/>
        <v>23.886516214959858</v>
      </c>
      <c r="Q37" s="44">
        <f>E37</f>
        <v>20</v>
      </c>
    </row>
    <row r="38" spans="2:17" x14ac:dyDescent="0.45">
      <c r="B38" t="s">
        <v>465</v>
      </c>
      <c r="C38" s="43" t="s">
        <v>314</v>
      </c>
      <c r="D38" s="15" t="s">
        <v>466</v>
      </c>
      <c r="E38" s="36">
        <f>Hires!E31</f>
        <v>1</v>
      </c>
      <c r="F38" s="36">
        <f>Hires!F31</f>
        <v>0</v>
      </c>
      <c r="G38" s="36">
        <f>Hires!G31</f>
        <v>0</v>
      </c>
      <c r="H38" s="36">
        <f>Hires!H31</f>
        <v>1</v>
      </c>
      <c r="I38" s="36">
        <f>Hires!I31</f>
        <v>0</v>
      </c>
      <c r="J38" s="36">
        <f>Hires!J31</f>
        <v>0</v>
      </c>
      <c r="K38" s="36">
        <f>Hires!K31</f>
        <v>1</v>
      </c>
      <c r="L38" s="36">
        <f>Hires!L31</f>
        <v>0</v>
      </c>
      <c r="M38" s="36">
        <f>Hires!M31</f>
        <v>0</v>
      </c>
      <c r="N38" s="36">
        <f>Hires!N31</f>
        <v>1</v>
      </c>
      <c r="O38" s="36">
        <f>Hires!O31</f>
        <v>0</v>
      </c>
      <c r="P38" s="36">
        <f>Hires!P31</f>
        <v>0</v>
      </c>
      <c r="Q38" s="44">
        <f>SUM(E38:P38)</f>
        <v>4</v>
      </c>
    </row>
    <row r="39" spans="2:17" x14ac:dyDescent="0.45">
      <c r="B39" t="s">
        <v>467</v>
      </c>
      <c r="C39" s="43" t="s">
        <v>314</v>
      </c>
      <c r="D39" s="15" t="s">
        <v>468</v>
      </c>
      <c r="E39" s="36">
        <f>IF(Lag=0,E41,Inputs!$K$51*mAttr)</f>
        <v>0.23333333333333334</v>
      </c>
      <c r="F39" s="36">
        <f>IF(Lag=0,F41,IF(Lag=1,E41,Inputs!$K$51*mAttr))</f>
        <v>0.23333333333333334</v>
      </c>
      <c r="G39" s="36">
        <f>IF(Lag=0,G41,IF(Lag=1,F41,IF(Lag=2,E41,Inputs!$K$51*mAttr)))</f>
        <v>0.23333333333333334</v>
      </c>
      <c r="H39" s="36">
        <f>IF(Lag=0,H41,IF(Lag=1,G41,IF(Lag=2,F41,IF(Lag=3,E41,Inputs!$K$51*mAttr))))</f>
        <v>0.23333333333333334</v>
      </c>
      <c r="I39" s="36">
        <f>IF(Lag=0,I41,IF(Lag=1,H41,IF(Lag=2,G41,IF(Lag=3,F41,IF(Lag=4,E41,Inputs!$K$51*mAttr)))))</f>
        <v>0.24500000000000002</v>
      </c>
      <c r="J39" s="36">
        <f>IF(Lag=0,J41,IF(Lag=1,I41,IF(Lag=2,H41,IF(Lag=3,G41,IF(Lag=4,F41,IF(Lag=5,E41,Inputs!$K$51*mAttr))))))</f>
        <v>0.24486388888888891</v>
      </c>
      <c r="K39" s="36">
        <f>IF(Lag=0,K41,IF(Lag=1,J41,IF(Lag=2,I41,IF(Lag=3,H41,IF(Lag=4,G41,IF(Lag=5,F41,IF(Lag=6,E41,Inputs!$K$51*mAttr)))))))</f>
        <v>0.24472936574074075</v>
      </c>
      <c r="L39" s="36">
        <f>IF(Lag=0,L41,IF(Lag=1,K41,IF(Lag=2,J41,IF(Lag=3,I41,IF(Lag=4,H41,IF(Lag=5,G41,IF(Lag=6,F41,IF(Lag=7,E41,Inputs!$K$51*mAttr))))))))</f>
        <v>0.25626307869598763</v>
      </c>
      <c r="M39" s="36">
        <f>IF(Lag=0,M41,IF(Lag=1,L41,IF(Lag=2,K41,IF(Lag=3,J41,IF(Lag=4,I41,IF(Lag=5,H41,IF(Lag=6,G41,IF(Lag=7,F41,IF(Lag=8,E41,Inputs!$K$51*mAttr)))))))))</f>
        <v>0.25613167611120113</v>
      </c>
      <c r="N39" s="36">
        <f>IF(Lag=0,N41,IF(Lag=1,M41,IF(Lag=2,L41,IF(Lag=3,K41,IF(Lag=4,J41,IF(Lag=5,I41,IF(Lag=6,H41,IF(Lag=7,G41,IF(Lag=8,F41,IF(Lag=9,E41,Inputs!$K$51*mAttr))))))))))</f>
        <v>0.2560002185936075</v>
      </c>
      <c r="O39" s="36">
        <f>IF(Lag=0,O41,IF(Lag=1,N41,IF(Lag=2,M41,IF(Lag=3,L41,IF(Lag=4,K41,IF(Lag=5,J41,IF(Lag=6,I41,IF(Lag=7,H41,IF(Lag=8,G41,IF(Lag=9,F41,IF(Lag=10,E41,Inputs!$K$51*mAttr)))))))))))</f>
        <v>0.26753539197699072</v>
      </c>
      <c r="P39" s="36">
        <f>IF(Lag=0,P41,IF(Lag=1,O41,IF(Lag=2,N41,IF(Lag=3,M41,IF(Lag=4,L41,IF(Lag=5,K41,IF(Lag=6,J41,IF(Lag=7,I41,IF(Lag=8,H41,IF(Lag=9,G41,IF(Lag=10,F41,IF(Lag=11,E41,Inputs!$K$51*mAttr))))))))))))</f>
        <v>0.26740388165537898</v>
      </c>
      <c r="Q39" s="44">
        <f>SUM(E39:P39)</f>
        <v>2.9712608349961291</v>
      </c>
    </row>
    <row r="40" spans="2:17" x14ac:dyDescent="0.45">
      <c r="B40" t="s">
        <v>469</v>
      </c>
      <c r="C40" s="43" t="s">
        <v>314</v>
      </c>
      <c r="D40" s="15" t="s">
        <v>470</v>
      </c>
      <c r="E40" s="36">
        <f t="shared" ref="E40:P40" si="16">E38+E39</f>
        <v>1.2333333333333334</v>
      </c>
      <c r="F40" s="36">
        <f t="shared" si="16"/>
        <v>0.23333333333333334</v>
      </c>
      <c r="G40" s="36">
        <f t="shared" si="16"/>
        <v>0.23333333333333334</v>
      </c>
      <c r="H40" s="36">
        <f t="shared" si="16"/>
        <v>1.2333333333333334</v>
      </c>
      <c r="I40" s="36">
        <f t="shared" si="16"/>
        <v>0.24500000000000002</v>
      </c>
      <c r="J40" s="36">
        <f t="shared" si="16"/>
        <v>0.24486388888888891</v>
      </c>
      <c r="K40" s="36">
        <f t="shared" si="16"/>
        <v>1.2447293657407408</v>
      </c>
      <c r="L40" s="36">
        <f t="shared" si="16"/>
        <v>0.25626307869598763</v>
      </c>
      <c r="M40" s="36">
        <f t="shared" si="16"/>
        <v>0.25613167611120113</v>
      </c>
      <c r="N40" s="36">
        <f t="shared" si="16"/>
        <v>1.2560002185936074</v>
      </c>
      <c r="O40" s="36">
        <f t="shared" si="16"/>
        <v>0.26753539197699072</v>
      </c>
      <c r="P40" s="36">
        <f t="shared" si="16"/>
        <v>0.26740388165537898</v>
      </c>
      <c r="Q40" s="44">
        <f>SUM(E40:P40)</f>
        <v>6.9712608349961283</v>
      </c>
    </row>
    <row r="41" spans="2:17" x14ac:dyDescent="0.45">
      <c r="B41" t="s">
        <v>471</v>
      </c>
      <c r="C41" s="43" t="s">
        <v>314</v>
      </c>
      <c r="D41" s="15" t="s">
        <v>472</v>
      </c>
      <c r="E41" s="36">
        <f t="shared" ref="E41:P41" si="17">E37*mAttr</f>
        <v>0.23333333333333334</v>
      </c>
      <c r="F41" s="36">
        <f t="shared" si="17"/>
        <v>0.24500000000000002</v>
      </c>
      <c r="G41" s="36">
        <f t="shared" si="17"/>
        <v>0.24486388888888891</v>
      </c>
      <c r="H41" s="36">
        <f t="shared" si="17"/>
        <v>0.24472936574074075</v>
      </c>
      <c r="I41" s="36">
        <f t="shared" si="17"/>
        <v>0.25626307869598763</v>
      </c>
      <c r="J41" s="36">
        <f t="shared" si="17"/>
        <v>0.25613167611120113</v>
      </c>
      <c r="K41" s="36">
        <f t="shared" si="17"/>
        <v>0.2560002185936075</v>
      </c>
      <c r="L41" s="36">
        <f t="shared" si="17"/>
        <v>0.26753539197699072</v>
      </c>
      <c r="M41" s="36">
        <f t="shared" si="17"/>
        <v>0.26740388165537898</v>
      </c>
      <c r="N41" s="36">
        <f t="shared" si="17"/>
        <v>0.26727237259069692</v>
      </c>
      <c r="O41" s="36">
        <f t="shared" si="17"/>
        <v>0.27880753079406423</v>
      </c>
      <c r="P41" s="36">
        <f t="shared" si="17"/>
        <v>0.27867602250786505</v>
      </c>
      <c r="Q41" s="44">
        <f>SUM(E41:P41)</f>
        <v>3.0960167608887552</v>
      </c>
    </row>
    <row r="42" spans="2:17" x14ac:dyDescent="0.45">
      <c r="B42" s="4" t="s">
        <v>473</v>
      </c>
      <c r="C42" s="43" t="s">
        <v>314</v>
      </c>
      <c r="D42" s="15" t="s">
        <v>474</v>
      </c>
      <c r="E42" s="44">
        <f t="shared" ref="E42:P42" si="18">E37+E40-E41</f>
        <v>21</v>
      </c>
      <c r="F42" s="44">
        <f t="shared" si="18"/>
        <v>20.988333333333333</v>
      </c>
      <c r="G42" s="44">
        <f t="shared" si="18"/>
        <v>20.976802777777777</v>
      </c>
      <c r="H42" s="44">
        <f t="shared" si="18"/>
        <v>21.96540674537037</v>
      </c>
      <c r="I42" s="44">
        <f t="shared" si="18"/>
        <v>21.954143666674383</v>
      </c>
      <c r="J42" s="44">
        <f t="shared" si="18"/>
        <v>21.942875879452071</v>
      </c>
      <c r="K42" s="44">
        <f t="shared" si="18"/>
        <v>22.931605026599204</v>
      </c>
      <c r="L42" s="44">
        <f t="shared" si="18"/>
        <v>22.920332713318199</v>
      </c>
      <c r="M42" s="44">
        <f t="shared" si="18"/>
        <v>22.909060507774022</v>
      </c>
      <c r="N42" s="44">
        <f t="shared" si="18"/>
        <v>23.897788353776932</v>
      </c>
      <c r="O42" s="44">
        <f t="shared" si="18"/>
        <v>23.886516214959858</v>
      </c>
      <c r="P42" s="44">
        <f t="shared" si="18"/>
        <v>23.875244074107371</v>
      </c>
      <c r="Q42" s="44">
        <f>P42</f>
        <v>23.875244074107371</v>
      </c>
    </row>
    <row r="43" spans="2:17" x14ac:dyDescent="0.45">
      <c r="B43" t="s">
        <v>475</v>
      </c>
      <c r="C43" s="43" t="s">
        <v>314</v>
      </c>
      <c r="D43" s="15" t="s">
        <v>476</v>
      </c>
      <c r="E43" s="36">
        <f t="shared" ref="E43:P43" si="19">E37+E40</f>
        <v>21.233333333333334</v>
      </c>
      <c r="F43" s="36">
        <f t="shared" si="19"/>
        <v>21.233333333333334</v>
      </c>
      <c r="G43" s="36">
        <f t="shared" si="19"/>
        <v>21.221666666666668</v>
      </c>
      <c r="H43" s="36">
        <f t="shared" si="19"/>
        <v>22.210136111111112</v>
      </c>
      <c r="I43" s="36">
        <f t="shared" si="19"/>
        <v>22.210406745370371</v>
      </c>
      <c r="J43" s="36">
        <f t="shared" si="19"/>
        <v>22.199007555563274</v>
      </c>
      <c r="K43" s="36">
        <f t="shared" si="19"/>
        <v>23.187605245192813</v>
      </c>
      <c r="L43" s="36">
        <f t="shared" si="19"/>
        <v>23.187868105295191</v>
      </c>
      <c r="M43" s="36">
        <f t="shared" si="19"/>
        <v>23.176464389429402</v>
      </c>
      <c r="N43" s="36">
        <f t="shared" si="19"/>
        <v>24.165060726367628</v>
      </c>
      <c r="O43" s="36">
        <f t="shared" si="19"/>
        <v>24.165323745753923</v>
      </c>
      <c r="P43" s="36">
        <f t="shared" si="19"/>
        <v>24.153920096615238</v>
      </c>
      <c r="Q43" s="44">
        <f>AVERAGE(E43:P43)</f>
        <v>22.695343837836024</v>
      </c>
    </row>
    <row r="44" spans="2:17" x14ac:dyDescent="0.45">
      <c r="B44" t="s">
        <v>477</v>
      </c>
      <c r="C44" s="43" t="s">
        <v>314</v>
      </c>
      <c r="D44" s="15" t="s">
        <v>478</v>
      </c>
      <c r="E44" s="36">
        <f>SUMPRODUCT($E41:E41,--($E$4:E$4&gt;=E$4-Lag+1))</f>
        <v>0.23333333333333334</v>
      </c>
      <c r="F44" s="36">
        <f>SUMPRODUCT($E41:F41,--($E$4:F$4&gt;=F$4-Lag+1))</f>
        <v>0.47833333333333339</v>
      </c>
      <c r="G44" s="36">
        <f>SUMPRODUCT($E41:G41,--($E$4:G$4&gt;=G$4-Lag+1))</f>
        <v>0.72319722222222227</v>
      </c>
      <c r="H44" s="36">
        <f>SUMPRODUCT($E41:H41,--($E$4:H$4&gt;=H$4-Lag+1))</f>
        <v>0.73459325462962966</v>
      </c>
      <c r="I44" s="36">
        <f>SUMPRODUCT($E41:I41,--($E$4:I$4&gt;=I$4-Lag+1))</f>
        <v>0.74585633332561729</v>
      </c>
      <c r="J44" s="36">
        <f>SUMPRODUCT($E41:J41,--($E$4:J$4&gt;=J$4-Lag+1))</f>
        <v>0.75712412054792955</v>
      </c>
      <c r="K44" s="36">
        <f>SUMPRODUCT($E41:K41,--($E$4:K$4&gt;=K$4-Lag+1))</f>
        <v>0.76839497340079621</v>
      </c>
      <c r="L44" s="36">
        <f>SUMPRODUCT($E41:L41,--($E$4:L$4&gt;=L$4-Lag+1))</f>
        <v>0.7796672866817993</v>
      </c>
      <c r="M44" s="36">
        <f>SUMPRODUCT($E41:M41,--($E$4:M$4&gt;=M$4-Lag+1))</f>
        <v>0.79093949222597715</v>
      </c>
      <c r="N44" s="36">
        <f>SUMPRODUCT($E41:N41,--($E$4:N$4&gt;=N$4-Lag+1))</f>
        <v>0.80221164622306662</v>
      </c>
      <c r="O44" s="36">
        <f>SUMPRODUCT($E41:O41,--($E$4:O$4&gt;=O$4-Lag+1))</f>
        <v>0.81348378504014018</v>
      </c>
      <c r="P44" s="36">
        <f>SUMPRODUCT($E41:P41,--($E$4:P$4&gt;=P$4-Lag+1))</f>
        <v>0.82475592589262625</v>
      </c>
      <c r="Q44" s="44">
        <f>AVERAGE(E44:P44)</f>
        <v>0.70432422557137253</v>
      </c>
    </row>
    <row r="46" spans="2:17" x14ac:dyDescent="0.45">
      <c r="B46" s="4" t="s">
        <v>449</v>
      </c>
    </row>
    <row r="47" spans="2:17" x14ac:dyDescent="0.45">
      <c r="B47" t="s">
        <v>463</v>
      </c>
      <c r="C47" s="43" t="s">
        <v>314</v>
      </c>
      <c r="D47" s="15" t="s">
        <v>464</v>
      </c>
      <c r="E47" s="36">
        <f>Inputs!$K$52</f>
        <v>42</v>
      </c>
      <c r="F47" s="36">
        <f t="shared" ref="F47:P47" si="20">E52</f>
        <v>44</v>
      </c>
      <c r="G47" s="36">
        <f t="shared" si="20"/>
        <v>44.976666666666667</v>
      </c>
      <c r="H47" s="36">
        <f t="shared" si="20"/>
        <v>45.941938888888892</v>
      </c>
      <c r="I47" s="36">
        <f t="shared" si="20"/>
        <v>47.895949601851854</v>
      </c>
      <c r="J47" s="36">
        <f t="shared" si="20"/>
        <v>48.850496856496918</v>
      </c>
      <c r="K47" s="36">
        <f t="shared" si="20"/>
        <v>49.805302170948899</v>
      </c>
      <c r="L47" s="36">
        <f t="shared" si="20"/>
        <v>50.760229599324866</v>
      </c>
      <c r="M47" s="36">
        <f t="shared" si="20"/>
        <v>51.726812999354344</v>
      </c>
      <c r="N47" s="36">
        <f t="shared" si="20"/>
        <v>52.69325597768767</v>
      </c>
      <c r="O47" s="36">
        <f t="shared" si="20"/>
        <v>53.659563183275722</v>
      </c>
      <c r="P47" s="36">
        <f t="shared" si="20"/>
        <v>53.625737624796301</v>
      </c>
      <c r="Q47" s="44">
        <f>E47</f>
        <v>42</v>
      </c>
    </row>
    <row r="48" spans="2:17" x14ac:dyDescent="0.45">
      <c r="B48" t="s">
        <v>465</v>
      </c>
      <c r="C48" s="43" t="s">
        <v>314</v>
      </c>
      <c r="D48" s="15" t="s">
        <v>466</v>
      </c>
      <c r="E48" s="36">
        <f>Hires!E38</f>
        <v>2</v>
      </c>
      <c r="F48" s="36">
        <f>Hires!F38</f>
        <v>1</v>
      </c>
      <c r="G48" s="36">
        <f>Hires!G38</f>
        <v>1</v>
      </c>
      <c r="H48" s="36">
        <f>Hires!H38</f>
        <v>2</v>
      </c>
      <c r="I48" s="36">
        <f>Hires!I38</f>
        <v>1</v>
      </c>
      <c r="J48" s="36">
        <f>Hires!J38</f>
        <v>1</v>
      </c>
      <c r="K48" s="36">
        <f>Hires!K38</f>
        <v>1</v>
      </c>
      <c r="L48" s="36">
        <f>Hires!L38</f>
        <v>1</v>
      </c>
      <c r="M48" s="36">
        <f>Hires!M38</f>
        <v>1</v>
      </c>
      <c r="N48" s="36">
        <f>Hires!N38</f>
        <v>1</v>
      </c>
      <c r="O48" s="36">
        <f>Hires!O38</f>
        <v>0</v>
      </c>
      <c r="P48" s="36">
        <f>Hires!P38</f>
        <v>0</v>
      </c>
      <c r="Q48" s="44">
        <f>SUM(E48:P48)</f>
        <v>12</v>
      </c>
    </row>
    <row r="49" spans="2:17" x14ac:dyDescent="0.45">
      <c r="B49" t="s">
        <v>467</v>
      </c>
      <c r="C49" s="43" t="s">
        <v>314</v>
      </c>
      <c r="D49" s="15" t="s">
        <v>468</v>
      </c>
      <c r="E49" s="36">
        <f>IF(Lag=0,E51,Inputs!$K$52*mAttr)</f>
        <v>0.49000000000000005</v>
      </c>
      <c r="F49" s="36">
        <f>IF(Lag=0,F51,IF(Lag=1,E51,Inputs!$K$52*mAttr))</f>
        <v>0.49000000000000005</v>
      </c>
      <c r="G49" s="36">
        <f>IF(Lag=0,G51,IF(Lag=1,F51,IF(Lag=2,E51,Inputs!$K$52*mAttr)))</f>
        <v>0.49000000000000005</v>
      </c>
      <c r="H49" s="36">
        <f>IF(Lag=0,H51,IF(Lag=1,G51,IF(Lag=2,F51,IF(Lag=3,E51,Inputs!$K$52*mAttr))))</f>
        <v>0.49000000000000005</v>
      </c>
      <c r="I49" s="36">
        <f>IF(Lag=0,I51,IF(Lag=1,H51,IF(Lag=2,G51,IF(Lag=3,F51,IF(Lag=4,E51,Inputs!$K$52*mAttr)))))</f>
        <v>0.51333333333333331</v>
      </c>
      <c r="J49" s="36">
        <f>IF(Lag=0,J51,IF(Lag=1,I51,IF(Lag=2,H51,IF(Lag=3,G51,IF(Lag=4,F51,IF(Lag=5,E51,Inputs!$K$52*mAttr))))))</f>
        <v>0.52472777777777779</v>
      </c>
      <c r="K49" s="36">
        <f>IF(Lag=0,K51,IF(Lag=1,J51,IF(Lag=2,I51,IF(Lag=3,H51,IF(Lag=4,G51,IF(Lag=5,F51,IF(Lag=6,E51,Inputs!$K$52*mAttr)))))))</f>
        <v>0.53598928703703708</v>
      </c>
      <c r="L49" s="36">
        <f>IF(Lag=0,L51,IF(Lag=1,K51,IF(Lag=2,J51,IF(Lag=3,I51,IF(Lag=4,H51,IF(Lag=5,G51,IF(Lag=6,F51,IF(Lag=7,E51,Inputs!$K$52*mAttr))))))))</f>
        <v>0.55878607868827168</v>
      </c>
      <c r="M49" s="36">
        <f>IF(Lag=0,M51,IF(Lag=1,L51,IF(Lag=2,K51,IF(Lag=3,J51,IF(Lag=4,I51,IF(Lag=5,H51,IF(Lag=6,G51,IF(Lag=7,F51,IF(Lag=8,E51,Inputs!$K$52*mAttr)))))))))</f>
        <v>0.56992246332579743</v>
      </c>
      <c r="N49" s="36">
        <f>IF(Lag=0,N51,IF(Lag=1,M51,IF(Lag=2,L51,IF(Lag=3,K51,IF(Lag=4,J51,IF(Lag=5,I51,IF(Lag=6,H51,IF(Lag=7,G51,IF(Lag=8,F51,IF(Lag=9,E51,Inputs!$K$52*mAttr))))))))))</f>
        <v>0.58106185866107052</v>
      </c>
      <c r="O49" s="36">
        <f>IF(Lag=0,O51,IF(Lag=1,N51,IF(Lag=2,M51,IF(Lag=3,L51,IF(Lag=4,K51,IF(Lag=5,J51,IF(Lag=6,I51,IF(Lag=7,H51,IF(Lag=8,G51,IF(Lag=9,F51,IF(Lag=10,E51,Inputs!$K$52*mAttr)))))))))))</f>
        <v>0.59220267865879017</v>
      </c>
      <c r="P49" s="36">
        <f>IF(Lag=0,P51,IF(Lag=1,O51,IF(Lag=2,N51,IF(Lag=3,M51,IF(Lag=4,L51,IF(Lag=5,K51,IF(Lag=6,J51,IF(Lag=7,I51,IF(Lag=8,H51,IF(Lag=9,G51,IF(Lag=10,F51,IF(Lag=11,E51,Inputs!$K$52*mAttr))))))))))))</f>
        <v>0.6034794849924674</v>
      </c>
      <c r="Q49" s="44">
        <f>SUM(E49:P49)</f>
        <v>6.4395029624745455</v>
      </c>
    </row>
    <row r="50" spans="2:17" x14ac:dyDescent="0.45">
      <c r="B50" t="s">
        <v>469</v>
      </c>
      <c r="C50" s="43" t="s">
        <v>314</v>
      </c>
      <c r="D50" s="15" t="s">
        <v>470</v>
      </c>
      <c r="E50" s="36">
        <f t="shared" ref="E50:P50" si="21">E48+E49</f>
        <v>2.4900000000000002</v>
      </c>
      <c r="F50" s="36">
        <f t="shared" si="21"/>
        <v>1.49</v>
      </c>
      <c r="G50" s="36">
        <f t="shared" si="21"/>
        <v>1.49</v>
      </c>
      <c r="H50" s="36">
        <f t="shared" si="21"/>
        <v>2.4900000000000002</v>
      </c>
      <c r="I50" s="36">
        <f t="shared" si="21"/>
        <v>1.5133333333333332</v>
      </c>
      <c r="J50" s="36">
        <f t="shared" si="21"/>
        <v>1.5247277777777777</v>
      </c>
      <c r="K50" s="36">
        <f t="shared" si="21"/>
        <v>1.5359892870370371</v>
      </c>
      <c r="L50" s="36">
        <f t="shared" si="21"/>
        <v>1.5587860786882717</v>
      </c>
      <c r="M50" s="36">
        <f t="shared" si="21"/>
        <v>1.5699224633257973</v>
      </c>
      <c r="N50" s="36">
        <f t="shared" si="21"/>
        <v>1.5810618586610705</v>
      </c>
      <c r="O50" s="36">
        <f t="shared" si="21"/>
        <v>0.59220267865879017</v>
      </c>
      <c r="P50" s="36">
        <f t="shared" si="21"/>
        <v>0.6034794849924674</v>
      </c>
      <c r="Q50" s="44">
        <f>SUM(E50:P50)</f>
        <v>18.439502962474545</v>
      </c>
    </row>
    <row r="51" spans="2:17" x14ac:dyDescent="0.45">
      <c r="B51" t="s">
        <v>471</v>
      </c>
      <c r="C51" s="43" t="s">
        <v>314</v>
      </c>
      <c r="D51" s="15" t="s">
        <v>472</v>
      </c>
      <c r="E51" s="36">
        <f t="shared" ref="E51:P51" si="22">E47*mAttr</f>
        <v>0.49000000000000005</v>
      </c>
      <c r="F51" s="36">
        <f t="shared" si="22"/>
        <v>0.51333333333333331</v>
      </c>
      <c r="G51" s="36">
        <f t="shared" si="22"/>
        <v>0.52472777777777779</v>
      </c>
      <c r="H51" s="36">
        <f t="shared" si="22"/>
        <v>0.53598928703703708</v>
      </c>
      <c r="I51" s="36">
        <f t="shared" si="22"/>
        <v>0.55878607868827168</v>
      </c>
      <c r="J51" s="36">
        <f t="shared" si="22"/>
        <v>0.56992246332579743</v>
      </c>
      <c r="K51" s="36">
        <f t="shared" si="22"/>
        <v>0.58106185866107052</v>
      </c>
      <c r="L51" s="36">
        <f t="shared" si="22"/>
        <v>0.59220267865879017</v>
      </c>
      <c r="M51" s="36">
        <f t="shared" si="22"/>
        <v>0.6034794849924674</v>
      </c>
      <c r="N51" s="36">
        <f t="shared" si="22"/>
        <v>0.61475465307302279</v>
      </c>
      <c r="O51" s="36">
        <f t="shared" si="22"/>
        <v>0.62602823713821676</v>
      </c>
      <c r="P51" s="36">
        <f t="shared" si="22"/>
        <v>0.62563360562262349</v>
      </c>
      <c r="Q51" s="44">
        <f>SUM(E51:P51)</f>
        <v>6.8359194583084077</v>
      </c>
    </row>
    <row r="52" spans="2:17" x14ac:dyDescent="0.45">
      <c r="B52" s="4" t="s">
        <v>473</v>
      </c>
      <c r="C52" s="43" t="s">
        <v>314</v>
      </c>
      <c r="D52" s="15" t="s">
        <v>474</v>
      </c>
      <c r="E52" s="44">
        <f t="shared" ref="E52:P52" si="23">E47+E50-E51</f>
        <v>44</v>
      </c>
      <c r="F52" s="44">
        <f t="shared" si="23"/>
        <v>44.976666666666667</v>
      </c>
      <c r="G52" s="44">
        <f t="shared" si="23"/>
        <v>45.941938888888892</v>
      </c>
      <c r="H52" s="44">
        <f t="shared" si="23"/>
        <v>47.895949601851854</v>
      </c>
      <c r="I52" s="44">
        <f t="shared" si="23"/>
        <v>48.850496856496918</v>
      </c>
      <c r="J52" s="44">
        <f t="shared" si="23"/>
        <v>49.805302170948899</v>
      </c>
      <c r="K52" s="44">
        <f t="shared" si="23"/>
        <v>50.760229599324866</v>
      </c>
      <c r="L52" s="44">
        <f t="shared" si="23"/>
        <v>51.726812999354344</v>
      </c>
      <c r="M52" s="44">
        <f t="shared" si="23"/>
        <v>52.69325597768767</v>
      </c>
      <c r="N52" s="44">
        <f t="shared" si="23"/>
        <v>53.659563183275722</v>
      </c>
      <c r="O52" s="44">
        <f t="shared" si="23"/>
        <v>53.625737624796301</v>
      </c>
      <c r="P52" s="44">
        <f t="shared" si="23"/>
        <v>53.603583504166146</v>
      </c>
      <c r="Q52" s="44">
        <f>P52</f>
        <v>53.603583504166146</v>
      </c>
    </row>
    <row r="53" spans="2:17" x14ac:dyDescent="0.45">
      <c r="B53" t="s">
        <v>475</v>
      </c>
      <c r="C53" s="43" t="s">
        <v>314</v>
      </c>
      <c r="D53" s="15" t="s">
        <v>476</v>
      </c>
      <c r="E53" s="36">
        <f t="shared" ref="E53:P53" si="24">E47+E50</f>
        <v>44.49</v>
      </c>
      <c r="F53" s="36">
        <f t="shared" si="24"/>
        <v>45.49</v>
      </c>
      <c r="G53" s="36">
        <f t="shared" si="24"/>
        <v>46.466666666666669</v>
      </c>
      <c r="H53" s="36">
        <f t="shared" si="24"/>
        <v>48.431938888888894</v>
      </c>
      <c r="I53" s="36">
        <f t="shared" si="24"/>
        <v>49.409282935185189</v>
      </c>
      <c r="J53" s="36">
        <f t="shared" si="24"/>
        <v>50.375224634274694</v>
      </c>
      <c r="K53" s="36">
        <f t="shared" si="24"/>
        <v>51.341291457985939</v>
      </c>
      <c r="L53" s="36">
        <f t="shared" si="24"/>
        <v>52.319015678013137</v>
      </c>
      <c r="M53" s="36">
        <f t="shared" si="24"/>
        <v>53.29673546268014</v>
      </c>
      <c r="N53" s="36">
        <f t="shared" si="24"/>
        <v>54.274317836348743</v>
      </c>
      <c r="O53" s="36">
        <f t="shared" si="24"/>
        <v>54.251765861934516</v>
      </c>
      <c r="P53" s="36">
        <f t="shared" si="24"/>
        <v>54.22921710978877</v>
      </c>
      <c r="Q53" s="44">
        <f>AVERAGE(E53:P53)</f>
        <v>50.364621377647232</v>
      </c>
    </row>
    <row r="54" spans="2:17" x14ac:dyDescent="0.45">
      <c r="B54" t="s">
        <v>477</v>
      </c>
      <c r="C54" s="43" t="s">
        <v>314</v>
      </c>
      <c r="D54" s="15" t="s">
        <v>478</v>
      </c>
      <c r="E54" s="36">
        <f>SUMPRODUCT($E51:E51,--($E$4:E$4&gt;=E$4-Lag+1))</f>
        <v>0.49000000000000005</v>
      </c>
      <c r="F54" s="36">
        <f>SUMPRODUCT($E51:F51,--($E$4:F$4&gt;=F$4-Lag+1))</f>
        <v>1.0033333333333334</v>
      </c>
      <c r="G54" s="36">
        <f>SUMPRODUCT($E51:G51,--($E$4:G$4&gt;=G$4-Lag+1))</f>
        <v>1.5280611111111111</v>
      </c>
      <c r="H54" s="36">
        <f>SUMPRODUCT($E51:H51,--($E$4:H$4&gt;=H$4-Lag+1))</f>
        <v>1.5740503981481482</v>
      </c>
      <c r="I54" s="36">
        <f>SUMPRODUCT($E51:I51,--($E$4:I$4&gt;=I$4-Lag+1))</f>
        <v>1.6195031435030864</v>
      </c>
      <c r="J54" s="36">
        <f>SUMPRODUCT($E51:J51,--($E$4:J$4&gt;=J$4-Lag+1))</f>
        <v>1.6646978290511063</v>
      </c>
      <c r="K54" s="36">
        <f>SUMPRODUCT($E51:K51,--($E$4:K$4&gt;=K$4-Lag+1))</f>
        <v>1.7097704006751397</v>
      </c>
      <c r="L54" s="36">
        <f>SUMPRODUCT($E51:L51,--($E$4:L$4&gt;=L$4-Lag+1))</f>
        <v>1.7431870006456582</v>
      </c>
      <c r="M54" s="36">
        <f>SUMPRODUCT($E51:M51,--($E$4:M$4&gt;=M$4-Lag+1))</f>
        <v>1.7767440223123281</v>
      </c>
      <c r="N54" s="36">
        <f>SUMPRODUCT($E51:N51,--($E$4:N$4&gt;=N$4-Lag+1))</f>
        <v>1.8104368167242804</v>
      </c>
      <c r="O54" s="36">
        <f>SUMPRODUCT($E51:O51,--($E$4:O$4&gt;=O$4-Lag+1))</f>
        <v>1.8442623752037068</v>
      </c>
      <c r="P54" s="36">
        <f>SUMPRODUCT($E51:P51,--($E$4:P$4&gt;=P$4-Lag+1))</f>
        <v>1.8664164958338632</v>
      </c>
      <c r="Q54" s="44">
        <f>AVERAGE(E54:P54)</f>
        <v>1.5525385772118137</v>
      </c>
    </row>
    <row r="56" spans="2:17" x14ac:dyDescent="0.45">
      <c r="B56" s="4" t="s">
        <v>450</v>
      </c>
    </row>
    <row r="57" spans="2:17" x14ac:dyDescent="0.45">
      <c r="B57" t="s">
        <v>463</v>
      </c>
      <c r="C57" s="43" t="s">
        <v>314</v>
      </c>
      <c r="D57" s="15" t="s">
        <v>464</v>
      </c>
      <c r="E57" s="36">
        <f>Inputs!$K$53</f>
        <v>7</v>
      </c>
      <c r="F57" s="36">
        <f t="shared" ref="F57:P57" si="25">E62</f>
        <v>7</v>
      </c>
      <c r="G57" s="36">
        <f t="shared" si="25"/>
        <v>7</v>
      </c>
      <c r="H57" s="36">
        <f t="shared" si="25"/>
        <v>8</v>
      </c>
      <c r="I57" s="36">
        <f t="shared" si="25"/>
        <v>7.9883333333333333</v>
      </c>
      <c r="J57" s="36">
        <f t="shared" si="25"/>
        <v>7.9768027777777784</v>
      </c>
      <c r="K57" s="36">
        <f t="shared" si="25"/>
        <v>7.9654067453703705</v>
      </c>
      <c r="L57" s="36">
        <f t="shared" si="25"/>
        <v>7.9658103333410493</v>
      </c>
      <c r="M57" s="36">
        <f t="shared" si="25"/>
        <v>7.9660731016742918</v>
      </c>
      <c r="N57" s="36">
        <f t="shared" si="25"/>
        <v>8.9661982812288326</v>
      </c>
      <c r="O57" s="36">
        <f t="shared" si="25"/>
        <v>8.9545223799771509</v>
      </c>
      <c r="P57" s="36">
        <f t="shared" si="25"/>
        <v>8.9429874060997303</v>
      </c>
      <c r="Q57" s="44">
        <f>E57</f>
        <v>7</v>
      </c>
    </row>
    <row r="58" spans="2:17" x14ac:dyDescent="0.45">
      <c r="B58" t="s">
        <v>465</v>
      </c>
      <c r="C58" s="43" t="s">
        <v>314</v>
      </c>
      <c r="D58" s="15" t="s">
        <v>466</v>
      </c>
      <c r="E58" s="36">
        <f>Hires!E45</f>
        <v>0</v>
      </c>
      <c r="F58" s="36">
        <f>Hires!F45</f>
        <v>0</v>
      </c>
      <c r="G58" s="36">
        <f>Hires!G45</f>
        <v>1</v>
      </c>
      <c r="H58" s="36">
        <f>Hires!H45</f>
        <v>0</v>
      </c>
      <c r="I58" s="36">
        <f>Hires!I45</f>
        <v>0</v>
      </c>
      <c r="J58" s="36">
        <f>Hires!J45</f>
        <v>0</v>
      </c>
      <c r="K58" s="36">
        <f>Hires!K45</f>
        <v>0</v>
      </c>
      <c r="L58" s="36">
        <f>Hires!L45</f>
        <v>0</v>
      </c>
      <c r="M58" s="36">
        <f>Hires!M45</f>
        <v>1</v>
      </c>
      <c r="N58" s="36">
        <f>Hires!N45</f>
        <v>0</v>
      </c>
      <c r="O58" s="36">
        <f>Hires!O45</f>
        <v>0</v>
      </c>
      <c r="P58" s="36">
        <f>Hires!P45</f>
        <v>0</v>
      </c>
      <c r="Q58" s="44">
        <f>SUM(E58:P58)</f>
        <v>2</v>
      </c>
    </row>
    <row r="59" spans="2:17" x14ac:dyDescent="0.45">
      <c r="B59" t="s">
        <v>467</v>
      </c>
      <c r="C59" s="43" t="s">
        <v>314</v>
      </c>
      <c r="D59" s="15" t="s">
        <v>468</v>
      </c>
      <c r="E59" s="36">
        <f>IF(Lag=0,E61,Inputs!$K$53*mAttr)</f>
        <v>8.1666666666666665E-2</v>
      </c>
      <c r="F59" s="36">
        <f>IF(Lag=0,F61,IF(Lag=1,E61,Inputs!$K$53*mAttr))</f>
        <v>8.1666666666666665E-2</v>
      </c>
      <c r="G59" s="36">
        <f>IF(Lag=0,G61,IF(Lag=1,F61,IF(Lag=2,E61,Inputs!$K$53*mAttr)))</f>
        <v>8.1666666666666665E-2</v>
      </c>
      <c r="H59" s="36">
        <f>IF(Lag=0,H61,IF(Lag=1,G61,IF(Lag=2,F61,IF(Lag=3,E61,Inputs!$K$53*mAttr))))</f>
        <v>8.1666666666666665E-2</v>
      </c>
      <c r="I59" s="36">
        <f>IF(Lag=0,I61,IF(Lag=1,H61,IF(Lag=2,G61,IF(Lag=3,F61,IF(Lag=4,E61,Inputs!$K$53*mAttr)))))</f>
        <v>8.1666666666666665E-2</v>
      </c>
      <c r="J59" s="36">
        <f>IF(Lag=0,J61,IF(Lag=1,I61,IF(Lag=2,H61,IF(Lag=3,G61,IF(Lag=4,F61,IF(Lag=5,E61,Inputs!$K$53*mAttr))))))</f>
        <v>8.1666666666666665E-2</v>
      </c>
      <c r="K59" s="36">
        <f>IF(Lag=0,K61,IF(Lag=1,J61,IF(Lag=2,I61,IF(Lag=3,H61,IF(Lag=4,G61,IF(Lag=5,F61,IF(Lag=6,E61,Inputs!$K$53*mAttr)))))))</f>
        <v>9.3333333333333338E-2</v>
      </c>
      <c r="L59" s="36">
        <f>IF(Lag=0,L61,IF(Lag=1,K61,IF(Lag=2,J61,IF(Lag=3,I61,IF(Lag=4,H61,IF(Lag=5,G61,IF(Lag=6,F61,IF(Lag=7,E61,Inputs!$K$53*mAttr))))))))</f>
        <v>9.3197222222222223E-2</v>
      </c>
      <c r="M59" s="36">
        <f>IF(Lag=0,M61,IF(Lag=1,L61,IF(Lag=2,K61,IF(Lag=3,J61,IF(Lag=4,I61,IF(Lag=5,H61,IF(Lag=6,G61,IF(Lag=7,F61,IF(Lag=8,E61,Inputs!$K$53*mAttr)))))))))</f>
        <v>9.3062699074074079E-2</v>
      </c>
      <c r="N59" s="36">
        <f>IF(Lag=0,N61,IF(Lag=1,M61,IF(Lag=2,L61,IF(Lag=3,K61,IF(Lag=4,J61,IF(Lag=5,I61,IF(Lag=6,H61,IF(Lag=7,G61,IF(Lag=8,F61,IF(Lag=9,E61,Inputs!$K$53*mAttr))))))))))</f>
        <v>9.2929745362654331E-2</v>
      </c>
      <c r="O59" s="36">
        <f>IF(Lag=0,O61,IF(Lag=1,N61,IF(Lag=2,M61,IF(Lag=3,L61,IF(Lag=4,K61,IF(Lag=5,J61,IF(Lag=6,I61,IF(Lag=7,H61,IF(Lag=8,G61,IF(Lag=9,F61,IF(Lag=10,E61,Inputs!$K$53*mAttr)))))))))))</f>
        <v>9.2934453888978918E-2</v>
      </c>
      <c r="P59" s="36">
        <f>IF(Lag=0,P61,IF(Lag=1,O61,IF(Lag=2,N61,IF(Lag=3,M61,IF(Lag=4,L61,IF(Lag=5,K61,IF(Lag=6,J61,IF(Lag=7,I61,IF(Lag=8,H61,IF(Lag=9,G61,IF(Lag=10,F61,IF(Lag=11,E61,Inputs!$K$53*mAttr))))))))))))</f>
        <v>9.2937519519533413E-2</v>
      </c>
      <c r="Q59" s="44">
        <f>SUM(E59:P59)</f>
        <v>1.0483949734007962</v>
      </c>
    </row>
    <row r="60" spans="2:17" x14ac:dyDescent="0.45">
      <c r="B60" t="s">
        <v>469</v>
      </c>
      <c r="C60" s="43" t="s">
        <v>314</v>
      </c>
      <c r="D60" s="15" t="s">
        <v>470</v>
      </c>
      <c r="E60" s="36">
        <f t="shared" ref="E60:P60" si="26">E58+E59</f>
        <v>8.1666666666666665E-2</v>
      </c>
      <c r="F60" s="36">
        <f t="shared" si="26"/>
        <v>8.1666666666666665E-2</v>
      </c>
      <c r="G60" s="36">
        <f t="shared" si="26"/>
        <v>1.0816666666666666</v>
      </c>
      <c r="H60" s="36">
        <f t="shared" si="26"/>
        <v>8.1666666666666665E-2</v>
      </c>
      <c r="I60" s="36">
        <f t="shared" si="26"/>
        <v>8.1666666666666665E-2</v>
      </c>
      <c r="J60" s="36">
        <f t="shared" si="26"/>
        <v>8.1666666666666665E-2</v>
      </c>
      <c r="K60" s="36">
        <f t="shared" si="26"/>
        <v>9.3333333333333338E-2</v>
      </c>
      <c r="L60" s="36">
        <f t="shared" si="26"/>
        <v>9.3197222222222223E-2</v>
      </c>
      <c r="M60" s="36">
        <f t="shared" si="26"/>
        <v>1.0930626990740742</v>
      </c>
      <c r="N60" s="36">
        <f t="shared" si="26"/>
        <v>9.2929745362654331E-2</v>
      </c>
      <c r="O60" s="36">
        <f t="shared" si="26"/>
        <v>9.2934453888978918E-2</v>
      </c>
      <c r="P60" s="36">
        <f t="shared" si="26"/>
        <v>9.2937519519533413E-2</v>
      </c>
      <c r="Q60" s="44">
        <f>SUM(E60:P60)</f>
        <v>3.048394973400796</v>
      </c>
    </row>
    <row r="61" spans="2:17" x14ac:dyDescent="0.45">
      <c r="B61" t="s">
        <v>471</v>
      </c>
      <c r="C61" s="43" t="s">
        <v>314</v>
      </c>
      <c r="D61" s="15" t="s">
        <v>472</v>
      </c>
      <c r="E61" s="36">
        <f t="shared" ref="E61:P61" si="27">E57*mAttr</f>
        <v>8.1666666666666665E-2</v>
      </c>
      <c r="F61" s="36">
        <f t="shared" si="27"/>
        <v>8.1666666666666665E-2</v>
      </c>
      <c r="G61" s="36">
        <f t="shared" si="27"/>
        <v>8.1666666666666665E-2</v>
      </c>
      <c r="H61" s="36">
        <f t="shared" si="27"/>
        <v>9.3333333333333338E-2</v>
      </c>
      <c r="I61" s="36">
        <f t="shared" si="27"/>
        <v>9.3197222222222223E-2</v>
      </c>
      <c r="J61" s="36">
        <f t="shared" si="27"/>
        <v>9.3062699074074079E-2</v>
      </c>
      <c r="K61" s="36">
        <f t="shared" si="27"/>
        <v>9.2929745362654331E-2</v>
      </c>
      <c r="L61" s="36">
        <f t="shared" si="27"/>
        <v>9.2934453888978918E-2</v>
      </c>
      <c r="M61" s="36">
        <f t="shared" si="27"/>
        <v>9.2937519519533413E-2</v>
      </c>
      <c r="N61" s="36">
        <f t="shared" si="27"/>
        <v>0.10460564661433638</v>
      </c>
      <c r="O61" s="36">
        <f t="shared" si="27"/>
        <v>0.1044694277664001</v>
      </c>
      <c r="P61" s="36">
        <f t="shared" si="27"/>
        <v>0.10433485307116352</v>
      </c>
      <c r="Q61" s="44">
        <f>SUM(E61:P61)</f>
        <v>1.1168049008526961</v>
      </c>
    </row>
    <row r="62" spans="2:17" x14ac:dyDescent="0.45">
      <c r="B62" s="4" t="s">
        <v>473</v>
      </c>
      <c r="C62" s="43" t="s">
        <v>314</v>
      </c>
      <c r="D62" s="15" t="s">
        <v>474</v>
      </c>
      <c r="E62" s="44">
        <f t="shared" ref="E62:P62" si="28">E57+E60-E61</f>
        <v>7</v>
      </c>
      <c r="F62" s="44">
        <f t="shared" si="28"/>
        <v>7</v>
      </c>
      <c r="G62" s="44">
        <f t="shared" si="28"/>
        <v>8</v>
      </c>
      <c r="H62" s="44">
        <f t="shared" si="28"/>
        <v>7.9883333333333333</v>
      </c>
      <c r="I62" s="44">
        <f t="shared" si="28"/>
        <v>7.9768027777777784</v>
      </c>
      <c r="J62" s="44">
        <f t="shared" si="28"/>
        <v>7.9654067453703705</v>
      </c>
      <c r="K62" s="44">
        <f t="shared" si="28"/>
        <v>7.9658103333410493</v>
      </c>
      <c r="L62" s="44">
        <f t="shared" si="28"/>
        <v>7.9660731016742918</v>
      </c>
      <c r="M62" s="44">
        <f t="shared" si="28"/>
        <v>8.9661982812288326</v>
      </c>
      <c r="N62" s="44">
        <f t="shared" si="28"/>
        <v>8.9545223799771509</v>
      </c>
      <c r="O62" s="44">
        <f t="shared" si="28"/>
        <v>8.9429874060997303</v>
      </c>
      <c r="P62" s="44">
        <f t="shared" si="28"/>
        <v>8.9315900725481008</v>
      </c>
      <c r="Q62" s="44">
        <f>P62</f>
        <v>8.9315900725481008</v>
      </c>
    </row>
    <row r="63" spans="2:17" x14ac:dyDescent="0.45">
      <c r="B63" t="s">
        <v>475</v>
      </c>
      <c r="C63" s="43" t="s">
        <v>314</v>
      </c>
      <c r="D63" s="15" t="s">
        <v>476</v>
      </c>
      <c r="E63" s="36">
        <f t="shared" ref="E63:P63" si="29">E57+E60</f>
        <v>7.081666666666667</v>
      </c>
      <c r="F63" s="36">
        <f t="shared" si="29"/>
        <v>7.081666666666667</v>
      </c>
      <c r="G63" s="36">
        <f t="shared" si="29"/>
        <v>8.081666666666667</v>
      </c>
      <c r="H63" s="36">
        <f t="shared" si="29"/>
        <v>8.081666666666667</v>
      </c>
      <c r="I63" s="36">
        <f t="shared" si="29"/>
        <v>8.07</v>
      </c>
      <c r="J63" s="36">
        <f t="shared" si="29"/>
        <v>8.0584694444444445</v>
      </c>
      <c r="K63" s="36">
        <f t="shared" si="29"/>
        <v>8.0587400787037033</v>
      </c>
      <c r="L63" s="36">
        <f t="shared" si="29"/>
        <v>8.0590075555632712</v>
      </c>
      <c r="M63" s="36">
        <f t="shared" si="29"/>
        <v>9.0591358007483667</v>
      </c>
      <c r="N63" s="36">
        <f t="shared" si="29"/>
        <v>9.0591280265914875</v>
      </c>
      <c r="O63" s="36">
        <f t="shared" si="29"/>
        <v>9.0474568338661303</v>
      </c>
      <c r="P63" s="36">
        <f t="shared" si="29"/>
        <v>9.0359249256192644</v>
      </c>
      <c r="Q63" s="44">
        <f>AVERAGE(E63:P63)</f>
        <v>8.2312107776836125</v>
      </c>
    </row>
    <row r="64" spans="2:17" x14ac:dyDescent="0.45">
      <c r="B64" t="s">
        <v>477</v>
      </c>
      <c r="C64" s="43" t="s">
        <v>314</v>
      </c>
      <c r="D64" s="15" t="s">
        <v>478</v>
      </c>
      <c r="E64" s="36">
        <f>SUMPRODUCT($E61:E61,--($E$4:E$4&gt;=E$4-Lag+1))</f>
        <v>8.1666666666666665E-2</v>
      </c>
      <c r="F64" s="36">
        <f>SUMPRODUCT($E61:F61,--($E$4:F$4&gt;=F$4-Lag+1))</f>
        <v>0.16333333333333333</v>
      </c>
      <c r="G64" s="36">
        <f>SUMPRODUCT($E61:G61,--($E$4:G$4&gt;=G$4-Lag+1))</f>
        <v>0.245</v>
      </c>
      <c r="H64" s="36">
        <f>SUMPRODUCT($E61:H61,--($E$4:H$4&gt;=H$4-Lag+1))</f>
        <v>0.25666666666666665</v>
      </c>
      <c r="I64" s="36">
        <f>SUMPRODUCT($E61:I61,--($E$4:I$4&gt;=I$4-Lag+1))</f>
        <v>0.2681972222222222</v>
      </c>
      <c r="J64" s="36">
        <f>SUMPRODUCT($E61:J61,--($E$4:J$4&gt;=J$4-Lag+1))</f>
        <v>0.27959325462962964</v>
      </c>
      <c r="K64" s="36">
        <f>SUMPRODUCT($E61:K61,--($E$4:K$4&gt;=K$4-Lag+1))</f>
        <v>0.27918966665895062</v>
      </c>
      <c r="L64" s="36">
        <f>SUMPRODUCT($E61:L61,--($E$4:L$4&gt;=L$4-Lag+1))</f>
        <v>0.27892689832570733</v>
      </c>
      <c r="M64" s="36">
        <f>SUMPRODUCT($E61:M61,--($E$4:M$4&gt;=M$4-Lag+1))</f>
        <v>0.27880171877116666</v>
      </c>
      <c r="N64" s="36">
        <f>SUMPRODUCT($E61:N61,--($E$4:N$4&gt;=N$4-Lag+1))</f>
        <v>0.29047762002284871</v>
      </c>
      <c r="O64" s="36">
        <f>SUMPRODUCT($E61:O61,--($E$4:O$4&gt;=O$4-Lag+1))</f>
        <v>0.30201259390026991</v>
      </c>
      <c r="P64" s="36">
        <f>SUMPRODUCT($E61:P61,--($E$4:P$4&gt;=P$4-Lag+1))</f>
        <v>0.31340992745189999</v>
      </c>
      <c r="Q64" s="44">
        <f>AVERAGE(E64:P64)</f>
        <v>0.25310629738744678</v>
      </c>
    </row>
    <row r="66" spans="2:17" x14ac:dyDescent="0.45">
      <c r="B66" s="4" t="s">
        <v>451</v>
      </c>
    </row>
    <row r="67" spans="2:17" x14ac:dyDescent="0.45">
      <c r="B67" t="s">
        <v>463</v>
      </c>
      <c r="C67" s="43" t="s">
        <v>324</v>
      </c>
      <c r="D67" s="15" t="s">
        <v>464</v>
      </c>
      <c r="E67" s="36">
        <f>Inputs!$K$54</f>
        <v>15</v>
      </c>
      <c r="F67" s="36">
        <f t="shared" ref="F67:P67" si="30">E72</f>
        <v>16</v>
      </c>
      <c r="G67" s="36">
        <f t="shared" si="30"/>
        <v>15.988333333333333</v>
      </c>
      <c r="H67" s="36">
        <f t="shared" si="30"/>
        <v>15.976802777777779</v>
      </c>
      <c r="I67" s="36">
        <f t="shared" si="30"/>
        <v>16.96540674537037</v>
      </c>
      <c r="J67" s="36">
        <f t="shared" si="30"/>
        <v>16.954143666674383</v>
      </c>
      <c r="K67" s="36">
        <f t="shared" si="30"/>
        <v>16.942875879452071</v>
      </c>
      <c r="L67" s="36">
        <f t="shared" si="30"/>
        <v>17.931605026599204</v>
      </c>
      <c r="M67" s="36">
        <f t="shared" si="30"/>
        <v>17.920332713318199</v>
      </c>
      <c r="N67" s="36">
        <f t="shared" si="30"/>
        <v>17.909060507774022</v>
      </c>
      <c r="O67" s="36">
        <f t="shared" si="30"/>
        <v>17.897788353776935</v>
      </c>
      <c r="P67" s="36">
        <f t="shared" si="30"/>
        <v>17.898182881626528</v>
      </c>
      <c r="Q67" s="44">
        <f>E67</f>
        <v>15</v>
      </c>
    </row>
    <row r="68" spans="2:17" x14ac:dyDescent="0.45">
      <c r="B68" t="s">
        <v>465</v>
      </c>
      <c r="C68" s="43" t="s">
        <v>324</v>
      </c>
      <c r="D68" s="15" t="s">
        <v>466</v>
      </c>
      <c r="E68" s="36">
        <f>Hires!E52</f>
        <v>1</v>
      </c>
      <c r="F68" s="36">
        <f>Hires!F52</f>
        <v>0</v>
      </c>
      <c r="G68" s="36">
        <f>Hires!G52</f>
        <v>0</v>
      </c>
      <c r="H68" s="36">
        <f>Hires!H52</f>
        <v>1</v>
      </c>
      <c r="I68" s="36">
        <f>Hires!I52</f>
        <v>0</v>
      </c>
      <c r="J68" s="36">
        <f>Hires!J52</f>
        <v>0</v>
      </c>
      <c r="K68" s="36">
        <f>Hires!K52</f>
        <v>1</v>
      </c>
      <c r="L68" s="36">
        <f>Hires!L52</f>
        <v>0</v>
      </c>
      <c r="M68" s="36">
        <f>Hires!M52</f>
        <v>0</v>
      </c>
      <c r="N68" s="36">
        <f>Hires!N52</f>
        <v>0</v>
      </c>
      <c r="O68" s="36">
        <f>Hires!O52</f>
        <v>0</v>
      </c>
      <c r="P68" s="36">
        <f>Hires!P52</f>
        <v>0</v>
      </c>
      <c r="Q68" s="44">
        <f>SUM(E68:P68)</f>
        <v>3</v>
      </c>
    </row>
    <row r="69" spans="2:17" x14ac:dyDescent="0.45">
      <c r="B69" t="s">
        <v>467</v>
      </c>
      <c r="C69" s="43" t="s">
        <v>324</v>
      </c>
      <c r="D69" s="15" t="s">
        <v>468</v>
      </c>
      <c r="E69" s="36">
        <f>IF(Lag=0,E71,Inputs!$K$54*mAttr)</f>
        <v>0.17500000000000002</v>
      </c>
      <c r="F69" s="36">
        <f>IF(Lag=0,F71,IF(Lag=1,E71,Inputs!$K$54*mAttr))</f>
        <v>0.17500000000000002</v>
      </c>
      <c r="G69" s="36">
        <f>IF(Lag=0,G71,IF(Lag=1,F71,IF(Lag=2,E71,Inputs!$K$54*mAttr)))</f>
        <v>0.17500000000000002</v>
      </c>
      <c r="H69" s="36">
        <f>IF(Lag=0,H71,IF(Lag=1,G71,IF(Lag=2,F71,IF(Lag=3,E71,Inputs!$K$54*mAttr))))</f>
        <v>0.17500000000000002</v>
      </c>
      <c r="I69" s="36">
        <f>IF(Lag=0,I71,IF(Lag=1,H71,IF(Lag=2,G71,IF(Lag=3,F71,IF(Lag=4,E71,Inputs!$K$54*mAttr)))))</f>
        <v>0.18666666666666668</v>
      </c>
      <c r="J69" s="36">
        <f>IF(Lag=0,J71,IF(Lag=1,I71,IF(Lag=2,H71,IF(Lag=3,G71,IF(Lag=4,F71,IF(Lag=5,E71,Inputs!$K$54*mAttr))))))</f>
        <v>0.18653055555555556</v>
      </c>
      <c r="K69" s="36">
        <f>IF(Lag=0,K71,IF(Lag=1,J71,IF(Lag=2,I71,IF(Lag=3,H71,IF(Lag=4,G71,IF(Lag=5,F71,IF(Lag=6,E71,Inputs!$K$54*mAttr)))))))</f>
        <v>0.18639603240740743</v>
      </c>
      <c r="L69" s="36">
        <f>IF(Lag=0,L71,IF(Lag=1,K71,IF(Lag=2,J71,IF(Lag=3,I71,IF(Lag=4,H71,IF(Lag=5,G71,IF(Lag=6,F71,IF(Lag=7,E71,Inputs!$K$54*mAttr))))))))</f>
        <v>0.19792974536265431</v>
      </c>
      <c r="M69" s="36">
        <f>IF(Lag=0,M71,IF(Lag=1,L71,IF(Lag=2,K71,IF(Lag=3,J71,IF(Lag=4,I71,IF(Lag=5,H71,IF(Lag=6,G71,IF(Lag=7,F71,IF(Lag=8,E71,Inputs!$K$54*mAttr)))))))))</f>
        <v>0.19779834277786781</v>
      </c>
      <c r="N69" s="36">
        <f>IF(Lag=0,N71,IF(Lag=1,M71,IF(Lag=2,L71,IF(Lag=3,K71,IF(Lag=4,J71,IF(Lag=5,I71,IF(Lag=6,H71,IF(Lag=7,G71,IF(Lag=8,F71,IF(Lag=9,E71,Inputs!$K$54*mAttr))))))))))</f>
        <v>0.19766688526027418</v>
      </c>
      <c r="O69" s="36">
        <f>IF(Lag=0,O71,IF(Lag=1,N71,IF(Lag=2,M71,IF(Lag=3,L71,IF(Lag=4,K71,IF(Lag=5,J71,IF(Lag=6,I71,IF(Lag=7,H71,IF(Lag=8,G71,IF(Lag=9,F71,IF(Lag=10,E71,Inputs!$K$54*mAttr)))))))))))</f>
        <v>0.2092020586436574</v>
      </c>
      <c r="P69" s="36">
        <f>IF(Lag=0,P71,IF(Lag=1,O71,IF(Lag=2,N71,IF(Lag=3,M71,IF(Lag=4,L71,IF(Lag=5,K71,IF(Lag=6,J71,IF(Lag=7,I71,IF(Lag=8,H71,IF(Lag=9,G71,IF(Lag=10,F71,IF(Lag=11,E71,Inputs!$K$54*mAttr))))))))))))</f>
        <v>0.20907054832204566</v>
      </c>
      <c r="Q69" s="44">
        <f>SUM(E69:P69)</f>
        <v>2.271260834996129</v>
      </c>
    </row>
    <row r="70" spans="2:17" x14ac:dyDescent="0.45">
      <c r="B70" t="s">
        <v>469</v>
      </c>
      <c r="C70" s="43" t="s">
        <v>324</v>
      </c>
      <c r="D70" s="15" t="s">
        <v>470</v>
      </c>
      <c r="E70" s="36">
        <f t="shared" ref="E70:P70" si="31">E68+E69</f>
        <v>1.175</v>
      </c>
      <c r="F70" s="36">
        <f t="shared" si="31"/>
        <v>0.17500000000000002</v>
      </c>
      <c r="G70" s="36">
        <f t="shared" si="31"/>
        <v>0.17500000000000002</v>
      </c>
      <c r="H70" s="36">
        <f t="shared" si="31"/>
        <v>1.175</v>
      </c>
      <c r="I70" s="36">
        <f t="shared" si="31"/>
        <v>0.18666666666666668</v>
      </c>
      <c r="J70" s="36">
        <f t="shared" si="31"/>
        <v>0.18653055555555556</v>
      </c>
      <c r="K70" s="36">
        <f t="shared" si="31"/>
        <v>1.1863960324074074</v>
      </c>
      <c r="L70" s="36">
        <f t="shared" si="31"/>
        <v>0.19792974536265431</v>
      </c>
      <c r="M70" s="36">
        <f t="shared" si="31"/>
        <v>0.19779834277786781</v>
      </c>
      <c r="N70" s="36">
        <f t="shared" si="31"/>
        <v>0.19766688526027418</v>
      </c>
      <c r="O70" s="36">
        <f t="shared" si="31"/>
        <v>0.2092020586436574</v>
      </c>
      <c r="P70" s="36">
        <f t="shared" si="31"/>
        <v>0.20907054832204566</v>
      </c>
      <c r="Q70" s="44">
        <f>SUM(E70:P70)</f>
        <v>5.2712608349961299</v>
      </c>
    </row>
    <row r="71" spans="2:17" x14ac:dyDescent="0.45">
      <c r="B71" t="s">
        <v>471</v>
      </c>
      <c r="C71" s="43" t="s">
        <v>324</v>
      </c>
      <c r="D71" s="15" t="s">
        <v>472</v>
      </c>
      <c r="E71" s="36">
        <f t="shared" ref="E71:P71" si="32">E67*mAttr</f>
        <v>0.17500000000000002</v>
      </c>
      <c r="F71" s="36">
        <f t="shared" si="32"/>
        <v>0.18666666666666668</v>
      </c>
      <c r="G71" s="36">
        <f t="shared" si="32"/>
        <v>0.18653055555555556</v>
      </c>
      <c r="H71" s="36">
        <f t="shared" si="32"/>
        <v>0.18639603240740743</v>
      </c>
      <c r="I71" s="36">
        <f t="shared" si="32"/>
        <v>0.19792974536265431</v>
      </c>
      <c r="J71" s="36">
        <f t="shared" si="32"/>
        <v>0.19779834277786781</v>
      </c>
      <c r="K71" s="36">
        <f t="shared" si="32"/>
        <v>0.19766688526027418</v>
      </c>
      <c r="L71" s="36">
        <f t="shared" si="32"/>
        <v>0.2092020586436574</v>
      </c>
      <c r="M71" s="36">
        <f t="shared" si="32"/>
        <v>0.20907054832204566</v>
      </c>
      <c r="N71" s="36">
        <f t="shared" si="32"/>
        <v>0.2089390392573636</v>
      </c>
      <c r="O71" s="36">
        <f t="shared" si="32"/>
        <v>0.20880753079406425</v>
      </c>
      <c r="P71" s="36">
        <f t="shared" si="32"/>
        <v>0.20881213361897619</v>
      </c>
      <c r="Q71" s="44">
        <f>SUM(E71:P71)</f>
        <v>2.3728195386665329</v>
      </c>
    </row>
    <row r="72" spans="2:17" x14ac:dyDescent="0.45">
      <c r="B72" s="4" t="s">
        <v>473</v>
      </c>
      <c r="C72" s="43" t="s">
        <v>324</v>
      </c>
      <c r="D72" s="15" t="s">
        <v>474</v>
      </c>
      <c r="E72" s="44">
        <f t="shared" ref="E72:P72" si="33">E67+E70-E71</f>
        <v>16</v>
      </c>
      <c r="F72" s="44">
        <f t="shared" si="33"/>
        <v>15.988333333333333</v>
      </c>
      <c r="G72" s="44">
        <f t="shared" si="33"/>
        <v>15.976802777777779</v>
      </c>
      <c r="H72" s="44">
        <f t="shared" si="33"/>
        <v>16.96540674537037</v>
      </c>
      <c r="I72" s="44">
        <f t="shared" si="33"/>
        <v>16.954143666674383</v>
      </c>
      <c r="J72" s="44">
        <f t="shared" si="33"/>
        <v>16.942875879452071</v>
      </c>
      <c r="K72" s="44">
        <f t="shared" si="33"/>
        <v>17.931605026599204</v>
      </c>
      <c r="L72" s="44">
        <f t="shared" si="33"/>
        <v>17.920332713318199</v>
      </c>
      <c r="M72" s="44">
        <f t="shared" si="33"/>
        <v>17.909060507774022</v>
      </c>
      <c r="N72" s="44">
        <f t="shared" si="33"/>
        <v>17.897788353776935</v>
      </c>
      <c r="O72" s="44">
        <f t="shared" si="33"/>
        <v>17.898182881626528</v>
      </c>
      <c r="P72" s="44">
        <f t="shared" si="33"/>
        <v>17.898441296329597</v>
      </c>
      <c r="Q72" s="44">
        <f>P72</f>
        <v>17.898441296329597</v>
      </c>
    </row>
    <row r="73" spans="2:17" x14ac:dyDescent="0.45">
      <c r="B73" t="s">
        <v>475</v>
      </c>
      <c r="C73" s="43" t="s">
        <v>324</v>
      </c>
      <c r="D73" s="15" t="s">
        <v>476</v>
      </c>
      <c r="E73" s="36">
        <f t="shared" ref="E73:P73" si="34">E67+E70</f>
        <v>16.175000000000001</v>
      </c>
      <c r="F73" s="36">
        <f t="shared" si="34"/>
        <v>16.175000000000001</v>
      </c>
      <c r="G73" s="36">
        <f t="shared" si="34"/>
        <v>16.163333333333334</v>
      </c>
      <c r="H73" s="36">
        <f t="shared" si="34"/>
        <v>17.151802777777778</v>
      </c>
      <c r="I73" s="36">
        <f t="shared" si="34"/>
        <v>17.152073412037037</v>
      </c>
      <c r="J73" s="36">
        <f t="shared" si="34"/>
        <v>17.14067422222994</v>
      </c>
      <c r="K73" s="36">
        <f t="shared" si="34"/>
        <v>18.12927191185948</v>
      </c>
      <c r="L73" s="36">
        <f t="shared" si="34"/>
        <v>18.129534771961858</v>
      </c>
      <c r="M73" s="36">
        <f t="shared" si="34"/>
        <v>18.118131056096068</v>
      </c>
      <c r="N73" s="36">
        <f t="shared" si="34"/>
        <v>18.106727393034298</v>
      </c>
      <c r="O73" s="36">
        <f t="shared" si="34"/>
        <v>18.106990412420593</v>
      </c>
      <c r="P73" s="36">
        <f t="shared" si="34"/>
        <v>18.107253429948575</v>
      </c>
      <c r="Q73" s="44">
        <f>AVERAGE(E73:P73)</f>
        <v>17.387982726724918</v>
      </c>
    </row>
    <row r="74" spans="2:17" x14ac:dyDescent="0.45">
      <c r="B74" t="s">
        <v>477</v>
      </c>
      <c r="C74" s="43" t="s">
        <v>324</v>
      </c>
      <c r="D74" s="15" t="s">
        <v>478</v>
      </c>
      <c r="E74" s="36">
        <f>SUMPRODUCT($E71:E71,--($E$4:E$4&gt;=E$4-Lag+1))</f>
        <v>0.17500000000000002</v>
      </c>
      <c r="F74" s="36">
        <f>SUMPRODUCT($E71:F71,--($E$4:F$4&gt;=F$4-Lag+1))</f>
        <v>0.36166666666666669</v>
      </c>
      <c r="G74" s="36">
        <f>SUMPRODUCT($E71:G71,--($E$4:G$4&gt;=G$4-Lag+1))</f>
        <v>0.54819722222222222</v>
      </c>
      <c r="H74" s="36">
        <f>SUMPRODUCT($E71:H71,--($E$4:H$4&gt;=H$4-Lag+1))</f>
        <v>0.55959325462962961</v>
      </c>
      <c r="I74" s="36">
        <f>SUMPRODUCT($E71:I71,--($E$4:I$4&gt;=I$4-Lag+1))</f>
        <v>0.57085633332561725</v>
      </c>
      <c r="J74" s="36">
        <f>SUMPRODUCT($E71:J71,--($E$4:J$4&gt;=J$4-Lag+1))</f>
        <v>0.5821241205479295</v>
      </c>
      <c r="K74" s="36">
        <f>SUMPRODUCT($E71:K71,--($E$4:K$4&gt;=K$4-Lag+1))</f>
        <v>0.59339497340079628</v>
      </c>
      <c r="L74" s="36">
        <f>SUMPRODUCT($E71:L71,--($E$4:L$4&gt;=L$4-Lag+1))</f>
        <v>0.60466728668179937</v>
      </c>
      <c r="M74" s="36">
        <f>SUMPRODUCT($E71:M71,--($E$4:M$4&gt;=M$4-Lag+1))</f>
        <v>0.61593949222597721</v>
      </c>
      <c r="N74" s="36">
        <f>SUMPRODUCT($E71:N71,--($E$4:N$4&gt;=N$4-Lag+1))</f>
        <v>0.62721164622306669</v>
      </c>
      <c r="O74" s="36">
        <f>SUMPRODUCT($E71:O71,--($E$4:O$4&gt;=O$4-Lag+1))</f>
        <v>0.62681711837347354</v>
      </c>
      <c r="P74" s="36">
        <f>SUMPRODUCT($E71:P71,--($E$4:P$4&gt;=P$4-Lag+1))</f>
        <v>0.626558703670404</v>
      </c>
      <c r="Q74" s="44">
        <f>AVERAGE(E74:P74)</f>
        <v>0.54100223483063192</v>
      </c>
    </row>
    <row r="76" spans="2:17" x14ac:dyDescent="0.45">
      <c r="B76" s="4" t="s">
        <v>452</v>
      </c>
    </row>
    <row r="77" spans="2:17" x14ac:dyDescent="0.45">
      <c r="B77" t="s">
        <v>463</v>
      </c>
      <c r="C77" s="43" t="s">
        <v>324</v>
      </c>
      <c r="D77" s="15" t="s">
        <v>464</v>
      </c>
      <c r="E77" s="36">
        <f>Inputs!$K$55</f>
        <v>10</v>
      </c>
      <c r="F77" s="36">
        <f t="shared" ref="F77:P77" si="35">E82</f>
        <v>10</v>
      </c>
      <c r="G77" s="36">
        <f t="shared" si="35"/>
        <v>11</v>
      </c>
      <c r="H77" s="36">
        <f t="shared" si="35"/>
        <v>10.988333333333333</v>
      </c>
      <c r="I77" s="36">
        <f t="shared" si="35"/>
        <v>10.976802777777777</v>
      </c>
      <c r="J77" s="36">
        <f t="shared" si="35"/>
        <v>10.96540674537037</v>
      </c>
      <c r="K77" s="36">
        <f t="shared" si="35"/>
        <v>10.965810333341048</v>
      </c>
      <c r="L77" s="36">
        <f t="shared" si="35"/>
        <v>10.966073101674292</v>
      </c>
      <c r="M77" s="36">
        <f t="shared" si="35"/>
        <v>11.966198281228831</v>
      </c>
      <c r="N77" s="36">
        <f t="shared" si="35"/>
        <v>11.954522379977149</v>
      </c>
      <c r="O77" s="36">
        <f t="shared" si="35"/>
        <v>11.942987406099729</v>
      </c>
      <c r="P77" s="36">
        <f t="shared" si="35"/>
        <v>11.931590072548099</v>
      </c>
      <c r="Q77" s="44">
        <f>E77</f>
        <v>10</v>
      </c>
    </row>
    <row r="78" spans="2:17" x14ac:dyDescent="0.45">
      <c r="B78" t="s">
        <v>465</v>
      </c>
      <c r="C78" s="43" t="s">
        <v>324</v>
      </c>
      <c r="D78" s="15" t="s">
        <v>466</v>
      </c>
      <c r="E78" s="36">
        <f>Hires!E59</f>
        <v>0</v>
      </c>
      <c r="F78" s="36">
        <f>Hires!F59</f>
        <v>1</v>
      </c>
      <c r="G78" s="36">
        <f>Hires!G59</f>
        <v>0</v>
      </c>
      <c r="H78" s="36">
        <f>Hires!H59</f>
        <v>0</v>
      </c>
      <c r="I78" s="36">
        <f>Hires!I59</f>
        <v>0</v>
      </c>
      <c r="J78" s="36">
        <f>Hires!J59</f>
        <v>0</v>
      </c>
      <c r="K78" s="36">
        <f>Hires!K59</f>
        <v>0</v>
      </c>
      <c r="L78" s="36">
        <f>Hires!L59</f>
        <v>1</v>
      </c>
      <c r="M78" s="36">
        <f>Hires!M59</f>
        <v>0</v>
      </c>
      <c r="N78" s="36">
        <f>Hires!N59</f>
        <v>0</v>
      </c>
      <c r="O78" s="36">
        <f>Hires!O59</f>
        <v>0</v>
      </c>
      <c r="P78" s="36">
        <f>Hires!P59</f>
        <v>0</v>
      </c>
      <c r="Q78" s="44">
        <f>SUM(E78:P78)</f>
        <v>2</v>
      </c>
    </row>
    <row r="79" spans="2:17" x14ac:dyDescent="0.45">
      <c r="B79" t="s">
        <v>467</v>
      </c>
      <c r="C79" s="43" t="s">
        <v>324</v>
      </c>
      <c r="D79" s="15" t="s">
        <v>468</v>
      </c>
      <c r="E79" s="36">
        <f>IF(Lag=0,E81,Inputs!$K$55*mAttr)</f>
        <v>0.11666666666666667</v>
      </c>
      <c r="F79" s="36">
        <f>IF(Lag=0,F81,IF(Lag=1,E81,Inputs!$K$55*mAttr))</f>
        <v>0.11666666666666667</v>
      </c>
      <c r="G79" s="36">
        <f>IF(Lag=0,G81,IF(Lag=1,F81,IF(Lag=2,E81,Inputs!$K$55*mAttr)))</f>
        <v>0.11666666666666667</v>
      </c>
      <c r="H79" s="36">
        <f>IF(Lag=0,H81,IF(Lag=1,G81,IF(Lag=2,F81,IF(Lag=3,E81,Inputs!$K$55*mAttr))))</f>
        <v>0.11666666666666667</v>
      </c>
      <c r="I79" s="36">
        <f>IF(Lag=0,I81,IF(Lag=1,H81,IF(Lag=2,G81,IF(Lag=3,F81,IF(Lag=4,E81,Inputs!$K$55*mAttr)))))</f>
        <v>0.11666666666666667</v>
      </c>
      <c r="J79" s="36">
        <f>IF(Lag=0,J81,IF(Lag=1,I81,IF(Lag=2,H81,IF(Lag=3,G81,IF(Lag=4,F81,IF(Lag=5,E81,Inputs!$K$55*mAttr))))))</f>
        <v>0.12833333333333333</v>
      </c>
      <c r="K79" s="36">
        <f>IF(Lag=0,K81,IF(Lag=1,J81,IF(Lag=2,I81,IF(Lag=3,H81,IF(Lag=4,G81,IF(Lag=5,F81,IF(Lag=6,E81,Inputs!$K$55*mAttr)))))))</f>
        <v>0.12819722222222224</v>
      </c>
      <c r="L79" s="36">
        <f>IF(Lag=0,L81,IF(Lag=1,K81,IF(Lag=2,J81,IF(Lag=3,I81,IF(Lag=4,H81,IF(Lag=5,G81,IF(Lag=6,F81,IF(Lag=7,E81,Inputs!$K$55*mAttr))))))))</f>
        <v>0.12806269907407408</v>
      </c>
      <c r="M79" s="36">
        <f>IF(Lag=0,M81,IF(Lag=1,L81,IF(Lag=2,K81,IF(Lag=3,J81,IF(Lag=4,I81,IF(Lag=5,H81,IF(Lag=6,G81,IF(Lag=7,F81,IF(Lag=8,E81,Inputs!$K$55*mAttr)))))))))</f>
        <v>0.12792974536265431</v>
      </c>
      <c r="N79" s="36">
        <f>IF(Lag=0,N81,IF(Lag=1,M81,IF(Lag=2,L81,IF(Lag=3,K81,IF(Lag=4,J81,IF(Lag=5,I81,IF(Lag=6,H81,IF(Lag=7,G81,IF(Lag=8,F81,IF(Lag=9,E81,Inputs!$K$55*mAttr))))))))))</f>
        <v>0.12793445388897889</v>
      </c>
      <c r="O79" s="36">
        <f>IF(Lag=0,O81,IF(Lag=1,N81,IF(Lag=2,M81,IF(Lag=3,L81,IF(Lag=4,K81,IF(Lag=5,J81,IF(Lag=6,I81,IF(Lag=7,H81,IF(Lag=8,G81,IF(Lag=9,F81,IF(Lag=10,E81,Inputs!$K$55*mAttr)))))))))))</f>
        <v>0.12793751951953342</v>
      </c>
      <c r="P79" s="36">
        <f>IF(Lag=0,P81,IF(Lag=1,O81,IF(Lag=2,N81,IF(Lag=3,M81,IF(Lag=4,L81,IF(Lag=5,K81,IF(Lag=6,J81,IF(Lag=7,I81,IF(Lag=8,H81,IF(Lag=9,G81,IF(Lag=10,F81,IF(Lag=11,E81,Inputs!$K$55*mAttr))))))))))))</f>
        <v>0.13960564661433636</v>
      </c>
      <c r="Q79" s="44">
        <f>SUM(E79:P79)</f>
        <v>1.4913339533484657</v>
      </c>
    </row>
    <row r="80" spans="2:17" x14ac:dyDescent="0.45">
      <c r="B80" t="s">
        <v>469</v>
      </c>
      <c r="C80" s="43" t="s">
        <v>324</v>
      </c>
      <c r="D80" s="15" t="s">
        <v>470</v>
      </c>
      <c r="E80" s="36">
        <f t="shared" ref="E80:P80" si="36">E78+E79</f>
        <v>0.11666666666666667</v>
      </c>
      <c r="F80" s="36">
        <f t="shared" si="36"/>
        <v>1.1166666666666667</v>
      </c>
      <c r="G80" s="36">
        <f t="shared" si="36"/>
        <v>0.11666666666666667</v>
      </c>
      <c r="H80" s="36">
        <f t="shared" si="36"/>
        <v>0.11666666666666667</v>
      </c>
      <c r="I80" s="36">
        <f t="shared" si="36"/>
        <v>0.11666666666666667</v>
      </c>
      <c r="J80" s="36">
        <f t="shared" si="36"/>
        <v>0.12833333333333333</v>
      </c>
      <c r="K80" s="36">
        <f t="shared" si="36"/>
        <v>0.12819722222222224</v>
      </c>
      <c r="L80" s="36">
        <f t="shared" si="36"/>
        <v>1.1280626990740741</v>
      </c>
      <c r="M80" s="36">
        <f t="shared" si="36"/>
        <v>0.12792974536265431</v>
      </c>
      <c r="N80" s="36">
        <f t="shared" si="36"/>
        <v>0.12793445388897889</v>
      </c>
      <c r="O80" s="36">
        <f t="shared" si="36"/>
        <v>0.12793751951953342</v>
      </c>
      <c r="P80" s="36">
        <f t="shared" si="36"/>
        <v>0.13960564661433636</v>
      </c>
      <c r="Q80" s="44">
        <f>SUM(E80:P80)</f>
        <v>3.491333953348466</v>
      </c>
    </row>
    <row r="81" spans="2:17" x14ac:dyDescent="0.45">
      <c r="B81" t="s">
        <v>471</v>
      </c>
      <c r="C81" s="43" t="s">
        <v>324</v>
      </c>
      <c r="D81" s="15" t="s">
        <v>472</v>
      </c>
      <c r="E81" s="36">
        <f t="shared" ref="E81:P81" si="37">E77*mAttr</f>
        <v>0.11666666666666667</v>
      </c>
      <c r="F81" s="36">
        <f t="shared" si="37"/>
        <v>0.11666666666666667</v>
      </c>
      <c r="G81" s="36">
        <f t="shared" si="37"/>
        <v>0.12833333333333333</v>
      </c>
      <c r="H81" s="36">
        <f t="shared" si="37"/>
        <v>0.12819722222222224</v>
      </c>
      <c r="I81" s="36">
        <f t="shared" si="37"/>
        <v>0.12806269907407408</v>
      </c>
      <c r="J81" s="36">
        <f t="shared" si="37"/>
        <v>0.12792974536265431</v>
      </c>
      <c r="K81" s="36">
        <f t="shared" si="37"/>
        <v>0.12793445388897889</v>
      </c>
      <c r="L81" s="36">
        <f t="shared" si="37"/>
        <v>0.12793751951953342</v>
      </c>
      <c r="M81" s="36">
        <f t="shared" si="37"/>
        <v>0.13960564661433636</v>
      </c>
      <c r="N81" s="36">
        <f t="shared" si="37"/>
        <v>0.13946942776640009</v>
      </c>
      <c r="O81" s="36">
        <f t="shared" si="37"/>
        <v>0.1393348530711635</v>
      </c>
      <c r="P81" s="36">
        <f t="shared" si="37"/>
        <v>0.13920188417972784</v>
      </c>
      <c r="Q81" s="44">
        <f>SUM(E81:P81)</f>
        <v>1.5593401183657574</v>
      </c>
    </row>
    <row r="82" spans="2:17" x14ac:dyDescent="0.45">
      <c r="B82" s="4" t="s">
        <v>473</v>
      </c>
      <c r="C82" s="43" t="s">
        <v>324</v>
      </c>
      <c r="D82" s="15" t="s">
        <v>474</v>
      </c>
      <c r="E82" s="44">
        <f t="shared" ref="E82:P82" si="38">E77+E80-E81</f>
        <v>10</v>
      </c>
      <c r="F82" s="44">
        <f t="shared" si="38"/>
        <v>11</v>
      </c>
      <c r="G82" s="44">
        <f t="shared" si="38"/>
        <v>10.988333333333333</v>
      </c>
      <c r="H82" s="44">
        <f t="shared" si="38"/>
        <v>10.976802777777777</v>
      </c>
      <c r="I82" s="44">
        <f t="shared" si="38"/>
        <v>10.96540674537037</v>
      </c>
      <c r="J82" s="44">
        <f t="shared" si="38"/>
        <v>10.965810333341048</v>
      </c>
      <c r="K82" s="44">
        <f t="shared" si="38"/>
        <v>10.966073101674292</v>
      </c>
      <c r="L82" s="44">
        <f t="shared" si="38"/>
        <v>11.966198281228831</v>
      </c>
      <c r="M82" s="44">
        <f t="shared" si="38"/>
        <v>11.954522379977149</v>
      </c>
      <c r="N82" s="44">
        <f t="shared" si="38"/>
        <v>11.942987406099729</v>
      </c>
      <c r="O82" s="44">
        <f t="shared" si="38"/>
        <v>11.931590072548099</v>
      </c>
      <c r="P82" s="44">
        <f t="shared" si="38"/>
        <v>11.931993834982707</v>
      </c>
      <c r="Q82" s="44">
        <f>P82</f>
        <v>11.931993834982707</v>
      </c>
    </row>
    <row r="83" spans="2:17" x14ac:dyDescent="0.45">
      <c r="B83" t="s">
        <v>475</v>
      </c>
      <c r="C83" s="43" t="s">
        <v>324</v>
      </c>
      <c r="D83" s="15" t="s">
        <v>476</v>
      </c>
      <c r="E83" s="36">
        <f t="shared" ref="E83:P83" si="39">E77+E80</f>
        <v>10.116666666666667</v>
      </c>
      <c r="F83" s="36">
        <f t="shared" si="39"/>
        <v>11.116666666666667</v>
      </c>
      <c r="G83" s="36">
        <f t="shared" si="39"/>
        <v>11.116666666666667</v>
      </c>
      <c r="H83" s="36">
        <f t="shared" si="39"/>
        <v>11.105</v>
      </c>
      <c r="I83" s="36">
        <f t="shared" si="39"/>
        <v>11.093469444444445</v>
      </c>
      <c r="J83" s="36">
        <f t="shared" si="39"/>
        <v>11.093740078703703</v>
      </c>
      <c r="K83" s="36">
        <f t="shared" si="39"/>
        <v>11.094007555563271</v>
      </c>
      <c r="L83" s="36">
        <f t="shared" si="39"/>
        <v>12.094135800748365</v>
      </c>
      <c r="M83" s="36">
        <f t="shared" si="39"/>
        <v>12.094128026591486</v>
      </c>
      <c r="N83" s="36">
        <f t="shared" si="39"/>
        <v>12.082456833866129</v>
      </c>
      <c r="O83" s="36">
        <f t="shared" si="39"/>
        <v>12.070924925619263</v>
      </c>
      <c r="P83" s="36">
        <f t="shared" si="39"/>
        <v>12.071195719162436</v>
      </c>
      <c r="Q83" s="44">
        <f>AVERAGE(E83:P83)</f>
        <v>11.429088198724926</v>
      </c>
    </row>
    <row r="84" spans="2:17" x14ac:dyDescent="0.45">
      <c r="B84" t="s">
        <v>477</v>
      </c>
      <c r="C84" s="43" t="s">
        <v>324</v>
      </c>
      <c r="D84" s="15" t="s">
        <v>478</v>
      </c>
      <c r="E84" s="36">
        <f>SUMPRODUCT($E81:E81,--($E$4:E$4&gt;=E$4-Lag+1))</f>
        <v>0.11666666666666667</v>
      </c>
      <c r="F84" s="36">
        <f>SUMPRODUCT($E81:F81,--($E$4:F$4&gt;=F$4-Lag+1))</f>
        <v>0.23333333333333334</v>
      </c>
      <c r="G84" s="36">
        <f>SUMPRODUCT($E81:G81,--($E$4:G$4&gt;=G$4-Lag+1))</f>
        <v>0.36166666666666669</v>
      </c>
      <c r="H84" s="36">
        <f>SUMPRODUCT($E81:H81,--($E$4:H$4&gt;=H$4-Lag+1))</f>
        <v>0.37319722222222224</v>
      </c>
      <c r="I84" s="36">
        <f>SUMPRODUCT($E81:I81,--($E$4:I$4&gt;=I$4-Lag+1))</f>
        <v>0.38459325462962968</v>
      </c>
      <c r="J84" s="36">
        <f>SUMPRODUCT($E81:J81,--($E$4:J$4&gt;=J$4-Lag+1))</f>
        <v>0.3841896666589506</v>
      </c>
      <c r="K84" s="36">
        <f>SUMPRODUCT($E81:K81,--($E$4:K$4&gt;=K$4-Lag+1))</f>
        <v>0.38392689832570731</v>
      </c>
      <c r="L84" s="36">
        <f>SUMPRODUCT($E81:L81,--($E$4:L$4&gt;=L$4-Lag+1))</f>
        <v>0.38380171877116659</v>
      </c>
      <c r="M84" s="36">
        <f>SUMPRODUCT($E81:M81,--($E$4:M$4&gt;=M$4-Lag+1))</f>
        <v>0.3954776200228487</v>
      </c>
      <c r="N84" s="36">
        <f>SUMPRODUCT($E81:N81,--($E$4:N$4&gt;=N$4-Lag+1))</f>
        <v>0.40701259390026984</v>
      </c>
      <c r="O84" s="36">
        <f>SUMPRODUCT($E81:O81,--($E$4:O$4&gt;=O$4-Lag+1))</f>
        <v>0.41840992745189992</v>
      </c>
      <c r="P84" s="36">
        <f>SUMPRODUCT($E81:P81,--($E$4:P$4&gt;=P$4-Lag+1))</f>
        <v>0.41800616501729143</v>
      </c>
      <c r="Q84" s="44">
        <f>AVERAGE(E84:P84)</f>
        <v>0.35502347780555438</v>
      </c>
    </row>
    <row r="86" spans="2:17" x14ac:dyDescent="0.45">
      <c r="B86" s="4" t="s">
        <v>453</v>
      </c>
    </row>
    <row r="87" spans="2:17" x14ac:dyDescent="0.45">
      <c r="B87" t="s">
        <v>463</v>
      </c>
      <c r="C87" s="43" t="s">
        <v>324</v>
      </c>
      <c r="D87" s="15" t="s">
        <v>464</v>
      </c>
      <c r="E87" s="36">
        <f>Inputs!$K$56</f>
        <v>5</v>
      </c>
      <c r="F87" s="36">
        <f t="shared" ref="F87:P87" si="40">E92</f>
        <v>5</v>
      </c>
      <c r="G87" s="36">
        <f t="shared" si="40"/>
        <v>5</v>
      </c>
      <c r="H87" s="36">
        <f t="shared" si="40"/>
        <v>5</v>
      </c>
      <c r="I87" s="36">
        <f t="shared" si="40"/>
        <v>5</v>
      </c>
      <c r="J87" s="36">
        <f t="shared" si="40"/>
        <v>5</v>
      </c>
      <c r="K87" s="36">
        <f t="shared" si="40"/>
        <v>5</v>
      </c>
      <c r="L87" s="36">
        <f t="shared" si="40"/>
        <v>5</v>
      </c>
      <c r="M87" s="36">
        <f t="shared" si="40"/>
        <v>5</v>
      </c>
      <c r="N87" s="36">
        <f t="shared" si="40"/>
        <v>5</v>
      </c>
      <c r="O87" s="36">
        <f t="shared" si="40"/>
        <v>5</v>
      </c>
      <c r="P87" s="36">
        <f t="shared" si="40"/>
        <v>5</v>
      </c>
      <c r="Q87" s="44">
        <f>E87</f>
        <v>5</v>
      </c>
    </row>
    <row r="88" spans="2:17" x14ac:dyDescent="0.45">
      <c r="B88" t="s">
        <v>465</v>
      </c>
      <c r="C88" s="43" t="s">
        <v>324</v>
      </c>
      <c r="D88" s="15" t="s">
        <v>466</v>
      </c>
      <c r="E88" s="36">
        <f>Hires!E66</f>
        <v>0</v>
      </c>
      <c r="F88" s="36">
        <f>Hires!F66</f>
        <v>0</v>
      </c>
      <c r="G88" s="36">
        <f>Hires!G66</f>
        <v>0</v>
      </c>
      <c r="H88" s="36">
        <f>Hires!H66</f>
        <v>0</v>
      </c>
      <c r="I88" s="36">
        <f>Hires!I66</f>
        <v>0</v>
      </c>
      <c r="J88" s="36">
        <f>Hires!J66</f>
        <v>0</v>
      </c>
      <c r="K88" s="36">
        <f>Hires!K66</f>
        <v>0</v>
      </c>
      <c r="L88" s="36">
        <f>Hires!L66</f>
        <v>0</v>
      </c>
      <c r="M88" s="36">
        <f>Hires!M66</f>
        <v>0</v>
      </c>
      <c r="N88" s="36">
        <f>Hires!N66</f>
        <v>0</v>
      </c>
      <c r="O88" s="36">
        <f>Hires!O66</f>
        <v>0</v>
      </c>
      <c r="P88" s="36">
        <f>Hires!P66</f>
        <v>0</v>
      </c>
      <c r="Q88" s="44">
        <f>SUM(E88:P88)</f>
        <v>0</v>
      </c>
    </row>
    <row r="89" spans="2:17" x14ac:dyDescent="0.45">
      <c r="B89" t="s">
        <v>467</v>
      </c>
      <c r="C89" s="43" t="s">
        <v>324</v>
      </c>
      <c r="D89" s="15" t="s">
        <v>468</v>
      </c>
      <c r="E89" s="36">
        <f>IF(Lag=0,E91,Inputs!$K$56*mAttr)</f>
        <v>5.8333333333333334E-2</v>
      </c>
      <c r="F89" s="36">
        <f>IF(Lag=0,F91,IF(Lag=1,E91,Inputs!$K$56*mAttr))</f>
        <v>5.8333333333333334E-2</v>
      </c>
      <c r="G89" s="36">
        <f>IF(Lag=0,G91,IF(Lag=1,F91,IF(Lag=2,E91,Inputs!$K$56*mAttr)))</f>
        <v>5.8333333333333334E-2</v>
      </c>
      <c r="H89" s="36">
        <f>IF(Lag=0,H91,IF(Lag=1,G91,IF(Lag=2,F91,IF(Lag=3,E91,Inputs!$K$56*mAttr))))</f>
        <v>5.8333333333333334E-2</v>
      </c>
      <c r="I89" s="36">
        <f>IF(Lag=0,I91,IF(Lag=1,H91,IF(Lag=2,G91,IF(Lag=3,F91,IF(Lag=4,E91,Inputs!$K$56*mAttr)))))</f>
        <v>5.8333333333333334E-2</v>
      </c>
      <c r="J89" s="36">
        <f>IF(Lag=0,J91,IF(Lag=1,I91,IF(Lag=2,H91,IF(Lag=3,G91,IF(Lag=4,F91,IF(Lag=5,E91,Inputs!$K$56*mAttr))))))</f>
        <v>5.8333333333333334E-2</v>
      </c>
      <c r="K89" s="36">
        <f>IF(Lag=0,K91,IF(Lag=1,J91,IF(Lag=2,I91,IF(Lag=3,H91,IF(Lag=4,G91,IF(Lag=5,F91,IF(Lag=6,E91,Inputs!$K$56*mAttr)))))))</f>
        <v>5.8333333333333334E-2</v>
      </c>
      <c r="L89" s="36">
        <f>IF(Lag=0,L91,IF(Lag=1,K91,IF(Lag=2,J91,IF(Lag=3,I91,IF(Lag=4,H91,IF(Lag=5,G91,IF(Lag=6,F91,IF(Lag=7,E91,Inputs!$K$56*mAttr))))))))</f>
        <v>5.8333333333333334E-2</v>
      </c>
      <c r="M89" s="36">
        <f>IF(Lag=0,M91,IF(Lag=1,L91,IF(Lag=2,K91,IF(Lag=3,J91,IF(Lag=4,I91,IF(Lag=5,H91,IF(Lag=6,G91,IF(Lag=7,F91,IF(Lag=8,E91,Inputs!$K$56*mAttr)))))))))</f>
        <v>5.8333333333333334E-2</v>
      </c>
      <c r="N89" s="36">
        <f>IF(Lag=0,N91,IF(Lag=1,M91,IF(Lag=2,L91,IF(Lag=3,K91,IF(Lag=4,J91,IF(Lag=5,I91,IF(Lag=6,H91,IF(Lag=7,G91,IF(Lag=8,F91,IF(Lag=9,E91,Inputs!$K$56*mAttr))))))))))</f>
        <v>5.8333333333333334E-2</v>
      </c>
      <c r="O89" s="36">
        <f>IF(Lag=0,O91,IF(Lag=1,N91,IF(Lag=2,M91,IF(Lag=3,L91,IF(Lag=4,K91,IF(Lag=5,J91,IF(Lag=6,I91,IF(Lag=7,H91,IF(Lag=8,G91,IF(Lag=9,F91,IF(Lag=10,E91,Inputs!$K$56*mAttr)))))))))))</f>
        <v>5.8333333333333334E-2</v>
      </c>
      <c r="P89" s="36">
        <f>IF(Lag=0,P91,IF(Lag=1,O91,IF(Lag=2,N91,IF(Lag=3,M91,IF(Lag=4,L91,IF(Lag=5,K91,IF(Lag=6,J91,IF(Lag=7,I91,IF(Lag=8,H91,IF(Lag=9,G91,IF(Lag=10,F91,IF(Lag=11,E91,Inputs!$K$56*mAttr))))))))))))</f>
        <v>5.8333333333333334E-2</v>
      </c>
      <c r="Q89" s="44">
        <f>SUM(E89:P89)</f>
        <v>0.70000000000000007</v>
      </c>
    </row>
    <row r="90" spans="2:17" x14ac:dyDescent="0.45">
      <c r="B90" t="s">
        <v>469</v>
      </c>
      <c r="C90" s="43" t="s">
        <v>324</v>
      </c>
      <c r="D90" s="15" t="s">
        <v>470</v>
      </c>
      <c r="E90" s="36">
        <f t="shared" ref="E90:P90" si="41">E88+E89</f>
        <v>5.8333333333333334E-2</v>
      </c>
      <c r="F90" s="36">
        <f t="shared" si="41"/>
        <v>5.8333333333333334E-2</v>
      </c>
      <c r="G90" s="36">
        <f t="shared" si="41"/>
        <v>5.8333333333333334E-2</v>
      </c>
      <c r="H90" s="36">
        <f t="shared" si="41"/>
        <v>5.8333333333333334E-2</v>
      </c>
      <c r="I90" s="36">
        <f t="shared" si="41"/>
        <v>5.8333333333333334E-2</v>
      </c>
      <c r="J90" s="36">
        <f t="shared" si="41"/>
        <v>5.8333333333333334E-2</v>
      </c>
      <c r="K90" s="36">
        <f t="shared" si="41"/>
        <v>5.8333333333333334E-2</v>
      </c>
      <c r="L90" s="36">
        <f t="shared" si="41"/>
        <v>5.8333333333333334E-2</v>
      </c>
      <c r="M90" s="36">
        <f t="shared" si="41"/>
        <v>5.8333333333333334E-2</v>
      </c>
      <c r="N90" s="36">
        <f t="shared" si="41"/>
        <v>5.8333333333333334E-2</v>
      </c>
      <c r="O90" s="36">
        <f t="shared" si="41"/>
        <v>5.8333333333333334E-2</v>
      </c>
      <c r="P90" s="36">
        <f t="shared" si="41"/>
        <v>5.8333333333333334E-2</v>
      </c>
      <c r="Q90" s="44">
        <f>SUM(E90:P90)</f>
        <v>0.70000000000000007</v>
      </c>
    </row>
    <row r="91" spans="2:17" x14ac:dyDescent="0.45">
      <c r="B91" t="s">
        <v>471</v>
      </c>
      <c r="C91" s="43" t="s">
        <v>324</v>
      </c>
      <c r="D91" s="15" t="s">
        <v>472</v>
      </c>
      <c r="E91" s="36">
        <f t="shared" ref="E91:P91" si="42">E87*mAttr</f>
        <v>5.8333333333333334E-2</v>
      </c>
      <c r="F91" s="36">
        <f t="shared" si="42"/>
        <v>5.8333333333333334E-2</v>
      </c>
      <c r="G91" s="36">
        <f t="shared" si="42"/>
        <v>5.8333333333333334E-2</v>
      </c>
      <c r="H91" s="36">
        <f t="shared" si="42"/>
        <v>5.8333333333333334E-2</v>
      </c>
      <c r="I91" s="36">
        <f t="shared" si="42"/>
        <v>5.8333333333333334E-2</v>
      </c>
      <c r="J91" s="36">
        <f t="shared" si="42"/>
        <v>5.8333333333333334E-2</v>
      </c>
      <c r="K91" s="36">
        <f t="shared" si="42"/>
        <v>5.8333333333333334E-2</v>
      </c>
      <c r="L91" s="36">
        <f t="shared" si="42"/>
        <v>5.8333333333333334E-2</v>
      </c>
      <c r="M91" s="36">
        <f t="shared" si="42"/>
        <v>5.8333333333333334E-2</v>
      </c>
      <c r="N91" s="36">
        <f t="shared" si="42"/>
        <v>5.8333333333333334E-2</v>
      </c>
      <c r="O91" s="36">
        <f t="shared" si="42"/>
        <v>5.8333333333333334E-2</v>
      </c>
      <c r="P91" s="36">
        <f t="shared" si="42"/>
        <v>5.8333333333333334E-2</v>
      </c>
      <c r="Q91" s="44">
        <f>SUM(E91:P91)</f>
        <v>0.70000000000000007</v>
      </c>
    </row>
    <row r="92" spans="2:17" x14ac:dyDescent="0.45">
      <c r="B92" s="4" t="s">
        <v>473</v>
      </c>
      <c r="C92" s="43" t="s">
        <v>324</v>
      </c>
      <c r="D92" s="15" t="s">
        <v>474</v>
      </c>
      <c r="E92" s="44">
        <f t="shared" ref="E92:P92" si="43">E87+E90-E91</f>
        <v>5</v>
      </c>
      <c r="F92" s="44">
        <f t="shared" si="43"/>
        <v>5</v>
      </c>
      <c r="G92" s="44">
        <f t="shared" si="43"/>
        <v>5</v>
      </c>
      <c r="H92" s="44">
        <f t="shared" si="43"/>
        <v>5</v>
      </c>
      <c r="I92" s="44">
        <f t="shared" si="43"/>
        <v>5</v>
      </c>
      <c r="J92" s="44">
        <f t="shared" si="43"/>
        <v>5</v>
      </c>
      <c r="K92" s="44">
        <f t="shared" si="43"/>
        <v>5</v>
      </c>
      <c r="L92" s="44">
        <f t="shared" si="43"/>
        <v>5</v>
      </c>
      <c r="M92" s="44">
        <f t="shared" si="43"/>
        <v>5</v>
      </c>
      <c r="N92" s="44">
        <f t="shared" si="43"/>
        <v>5</v>
      </c>
      <c r="O92" s="44">
        <f t="shared" si="43"/>
        <v>5</v>
      </c>
      <c r="P92" s="44">
        <f t="shared" si="43"/>
        <v>5</v>
      </c>
      <c r="Q92" s="44">
        <f>P92</f>
        <v>5</v>
      </c>
    </row>
    <row r="93" spans="2:17" x14ac:dyDescent="0.45">
      <c r="B93" t="s">
        <v>475</v>
      </c>
      <c r="C93" s="43" t="s">
        <v>324</v>
      </c>
      <c r="D93" s="15" t="s">
        <v>476</v>
      </c>
      <c r="E93" s="36">
        <f t="shared" ref="E93:P93" si="44">E87+E90</f>
        <v>5.0583333333333336</v>
      </c>
      <c r="F93" s="36">
        <f t="shared" si="44"/>
        <v>5.0583333333333336</v>
      </c>
      <c r="G93" s="36">
        <f t="shared" si="44"/>
        <v>5.0583333333333336</v>
      </c>
      <c r="H93" s="36">
        <f t="shared" si="44"/>
        <v>5.0583333333333336</v>
      </c>
      <c r="I93" s="36">
        <f t="shared" si="44"/>
        <v>5.0583333333333336</v>
      </c>
      <c r="J93" s="36">
        <f t="shared" si="44"/>
        <v>5.0583333333333336</v>
      </c>
      <c r="K93" s="36">
        <f t="shared" si="44"/>
        <v>5.0583333333333336</v>
      </c>
      <c r="L93" s="36">
        <f t="shared" si="44"/>
        <v>5.0583333333333336</v>
      </c>
      <c r="M93" s="36">
        <f t="shared" si="44"/>
        <v>5.0583333333333336</v>
      </c>
      <c r="N93" s="36">
        <f t="shared" si="44"/>
        <v>5.0583333333333336</v>
      </c>
      <c r="O93" s="36">
        <f t="shared" si="44"/>
        <v>5.0583333333333336</v>
      </c>
      <c r="P93" s="36">
        <f t="shared" si="44"/>
        <v>5.0583333333333336</v>
      </c>
      <c r="Q93" s="44">
        <f>AVERAGE(E93:P93)</f>
        <v>5.0583333333333345</v>
      </c>
    </row>
    <row r="94" spans="2:17" x14ac:dyDescent="0.45">
      <c r="B94" t="s">
        <v>477</v>
      </c>
      <c r="C94" s="43" t="s">
        <v>324</v>
      </c>
      <c r="D94" s="15" t="s">
        <v>478</v>
      </c>
      <c r="E94" s="36">
        <f>SUMPRODUCT($E91:E91,--($E$4:E$4&gt;=E$4-Lag+1))</f>
        <v>5.8333333333333334E-2</v>
      </c>
      <c r="F94" s="36">
        <f>SUMPRODUCT($E91:F91,--($E$4:F$4&gt;=F$4-Lag+1))</f>
        <v>0.11666666666666667</v>
      </c>
      <c r="G94" s="36">
        <f>SUMPRODUCT($E91:G91,--($E$4:G$4&gt;=G$4-Lag+1))</f>
        <v>0.17499999999999999</v>
      </c>
      <c r="H94" s="36">
        <f>SUMPRODUCT($E91:H91,--($E$4:H$4&gt;=H$4-Lag+1))</f>
        <v>0.17499999999999999</v>
      </c>
      <c r="I94" s="36">
        <f>SUMPRODUCT($E91:I91,--($E$4:I$4&gt;=I$4-Lag+1))</f>
        <v>0.17499999999999999</v>
      </c>
      <c r="J94" s="36">
        <f>SUMPRODUCT($E91:J91,--($E$4:J$4&gt;=J$4-Lag+1))</f>
        <v>0.17499999999999999</v>
      </c>
      <c r="K94" s="36">
        <f>SUMPRODUCT($E91:K91,--($E$4:K$4&gt;=K$4-Lag+1))</f>
        <v>0.17499999999999999</v>
      </c>
      <c r="L94" s="36">
        <f>SUMPRODUCT($E91:L91,--($E$4:L$4&gt;=L$4-Lag+1))</f>
        <v>0.17499999999999999</v>
      </c>
      <c r="M94" s="36">
        <f>SUMPRODUCT($E91:M91,--($E$4:M$4&gt;=M$4-Lag+1))</f>
        <v>0.17499999999999999</v>
      </c>
      <c r="N94" s="36">
        <f>SUMPRODUCT($E91:N91,--($E$4:N$4&gt;=N$4-Lag+1))</f>
        <v>0.17499999999999999</v>
      </c>
      <c r="O94" s="36">
        <f>SUMPRODUCT($E91:O91,--($E$4:O$4&gt;=O$4-Lag+1))</f>
        <v>0.17499999999999999</v>
      </c>
      <c r="P94" s="36">
        <f>SUMPRODUCT($E91:P91,--($E$4:P$4&gt;=P$4-Lag+1))</f>
        <v>0.17499999999999999</v>
      </c>
      <c r="Q94" s="44">
        <f>AVERAGE(E94:P94)</f>
        <v>0.16041666666666668</v>
      </c>
    </row>
    <row r="96" spans="2:17" x14ac:dyDescent="0.45">
      <c r="B96" s="4" t="s">
        <v>454</v>
      </c>
    </row>
    <row r="97" spans="2:17" x14ac:dyDescent="0.45">
      <c r="B97" t="s">
        <v>463</v>
      </c>
      <c r="C97" s="43" t="s">
        <v>333</v>
      </c>
      <c r="D97" s="15" t="s">
        <v>464</v>
      </c>
      <c r="E97" s="36">
        <f>Inputs!$K$57</f>
        <v>35</v>
      </c>
      <c r="F97" s="36">
        <f t="shared" ref="F97:P97" si="45">E102</f>
        <v>36</v>
      </c>
      <c r="G97" s="36">
        <f t="shared" si="45"/>
        <v>35.98833333333333</v>
      </c>
      <c r="H97" s="36">
        <f t="shared" si="45"/>
        <v>36.97680277777777</v>
      </c>
      <c r="I97" s="36">
        <f t="shared" si="45"/>
        <v>36.953740078703696</v>
      </c>
      <c r="J97" s="36">
        <f t="shared" si="45"/>
        <v>37.942613111118824</v>
      </c>
      <c r="K97" s="36">
        <f t="shared" si="45"/>
        <v>37.919813180377993</v>
      </c>
      <c r="L97" s="36">
        <f t="shared" si="45"/>
        <v>38.908811392347658</v>
      </c>
      <c r="M97" s="36">
        <f t="shared" si="45"/>
        <v>38.886002227021812</v>
      </c>
      <c r="N97" s="36">
        <f t="shared" si="45"/>
        <v>39.874996020669613</v>
      </c>
      <c r="O97" s="36">
        <f t="shared" si="45"/>
        <v>39.852185554199544</v>
      </c>
      <c r="P97" s="36">
        <f t="shared" si="45"/>
        <v>39.841179522311265</v>
      </c>
      <c r="Q97" s="44">
        <f>E97</f>
        <v>35</v>
      </c>
    </row>
    <row r="98" spans="2:17" x14ac:dyDescent="0.45">
      <c r="B98" t="s">
        <v>465</v>
      </c>
      <c r="C98" s="43" t="s">
        <v>333</v>
      </c>
      <c r="D98" s="15" t="s">
        <v>466</v>
      </c>
      <c r="E98" s="36">
        <f>Hires!E73</f>
        <v>1</v>
      </c>
      <c r="F98" s="36">
        <f>Hires!F73</f>
        <v>0</v>
      </c>
      <c r="G98" s="36">
        <f>Hires!G73</f>
        <v>1</v>
      </c>
      <c r="H98" s="36">
        <f>Hires!H73</f>
        <v>0</v>
      </c>
      <c r="I98" s="36">
        <f>Hires!I73</f>
        <v>1</v>
      </c>
      <c r="J98" s="36">
        <f>Hires!J73</f>
        <v>0</v>
      </c>
      <c r="K98" s="36">
        <f>Hires!K73</f>
        <v>1</v>
      </c>
      <c r="L98" s="36">
        <f>Hires!L73</f>
        <v>0</v>
      </c>
      <c r="M98" s="36">
        <f>Hires!M73</f>
        <v>1</v>
      </c>
      <c r="N98" s="36">
        <f>Hires!N73</f>
        <v>0</v>
      </c>
      <c r="O98" s="36">
        <f>Hires!O73</f>
        <v>0</v>
      </c>
      <c r="P98" s="36">
        <f>Hires!P73</f>
        <v>0</v>
      </c>
      <c r="Q98" s="44">
        <f>SUM(E98:P98)</f>
        <v>5</v>
      </c>
    </row>
    <row r="99" spans="2:17" x14ac:dyDescent="0.45">
      <c r="B99" t="s">
        <v>467</v>
      </c>
      <c r="C99" s="43" t="s">
        <v>333</v>
      </c>
      <c r="D99" s="15" t="s">
        <v>468</v>
      </c>
      <c r="E99" s="36">
        <f>IF(Lag=0,E101,Inputs!$K$57*mAttr)</f>
        <v>0.40833333333333333</v>
      </c>
      <c r="F99" s="36">
        <f>IF(Lag=0,F101,IF(Lag=1,E101,Inputs!$K$57*mAttr))</f>
        <v>0.40833333333333333</v>
      </c>
      <c r="G99" s="36">
        <f>IF(Lag=0,G101,IF(Lag=1,F101,IF(Lag=2,E101,Inputs!$K$57*mAttr)))</f>
        <v>0.40833333333333333</v>
      </c>
      <c r="H99" s="36">
        <f>IF(Lag=0,H101,IF(Lag=1,G101,IF(Lag=2,F101,IF(Lag=3,E101,Inputs!$K$57*mAttr))))</f>
        <v>0.40833333333333333</v>
      </c>
      <c r="I99" s="36">
        <f>IF(Lag=0,I101,IF(Lag=1,H101,IF(Lag=2,G101,IF(Lag=3,F101,IF(Lag=4,E101,Inputs!$K$57*mAttr)))))</f>
        <v>0.42000000000000004</v>
      </c>
      <c r="J99" s="36">
        <f>IF(Lag=0,J101,IF(Lag=1,I101,IF(Lag=2,H101,IF(Lag=3,G101,IF(Lag=4,F101,IF(Lag=5,E101,Inputs!$K$57*mAttr))))))</f>
        <v>0.41986388888888887</v>
      </c>
      <c r="K99" s="36">
        <f>IF(Lag=0,K101,IF(Lag=1,J101,IF(Lag=2,I101,IF(Lag=3,H101,IF(Lag=4,G101,IF(Lag=5,F101,IF(Lag=6,E101,Inputs!$K$57*mAttr)))))))</f>
        <v>0.43139603240740731</v>
      </c>
      <c r="L99" s="36">
        <f>IF(Lag=0,L101,IF(Lag=1,K101,IF(Lag=2,J101,IF(Lag=3,I101,IF(Lag=4,H101,IF(Lag=5,G101,IF(Lag=6,F101,IF(Lag=7,E101,Inputs!$K$57*mAttr))))))))</f>
        <v>0.43112696758487645</v>
      </c>
      <c r="M99" s="36">
        <f>IF(Lag=0,M101,IF(Lag=1,L101,IF(Lag=2,K101,IF(Lag=3,J101,IF(Lag=4,I101,IF(Lag=5,H101,IF(Lag=6,G101,IF(Lag=7,F101,IF(Lag=8,E101,Inputs!$K$57*mAttr)))))))))</f>
        <v>0.44266381962971962</v>
      </c>
      <c r="N99" s="36">
        <f>IF(Lag=0,N101,IF(Lag=1,M101,IF(Lag=2,L101,IF(Lag=3,K101,IF(Lag=4,J101,IF(Lag=5,I101,IF(Lag=6,H101,IF(Lag=7,G101,IF(Lag=8,F101,IF(Lag=9,E101,Inputs!$K$57*mAttr))))))))))</f>
        <v>0.44239782043774328</v>
      </c>
      <c r="O99" s="36">
        <f>IF(Lag=0,O101,IF(Lag=1,N101,IF(Lag=2,M101,IF(Lag=3,L101,IF(Lag=4,K101,IF(Lag=5,J101,IF(Lag=6,I101,IF(Lag=7,H101,IF(Lag=8,G101,IF(Lag=9,F101,IF(Lag=10,E101,Inputs!$K$57*mAttr)))))))))))</f>
        <v>0.45393613291072271</v>
      </c>
      <c r="P99" s="36">
        <f>IF(Lag=0,P101,IF(Lag=1,O101,IF(Lag=2,N101,IF(Lag=3,M101,IF(Lag=4,L101,IF(Lag=5,K101,IF(Lag=6,J101,IF(Lag=7,I101,IF(Lag=8,H101,IF(Lag=9,G101,IF(Lag=10,F101,IF(Lag=11,E101,Inputs!$K$57*mAttr))))))))))))</f>
        <v>0.45367002598192119</v>
      </c>
      <c r="Q99" s="44">
        <f>SUM(E99:P99)</f>
        <v>5.1283880211746133</v>
      </c>
    </row>
    <row r="100" spans="2:17" x14ac:dyDescent="0.45">
      <c r="B100" t="s">
        <v>469</v>
      </c>
      <c r="C100" s="43" t="s">
        <v>333</v>
      </c>
      <c r="D100" s="15" t="s">
        <v>470</v>
      </c>
      <c r="E100" s="36">
        <f t="shared" ref="E100:P100" si="46">E98+E99</f>
        <v>1.4083333333333332</v>
      </c>
      <c r="F100" s="36">
        <f t="shared" si="46"/>
        <v>0.40833333333333333</v>
      </c>
      <c r="G100" s="36">
        <f t="shared" si="46"/>
        <v>1.4083333333333332</v>
      </c>
      <c r="H100" s="36">
        <f t="shared" si="46"/>
        <v>0.40833333333333333</v>
      </c>
      <c r="I100" s="36">
        <f t="shared" si="46"/>
        <v>1.42</v>
      </c>
      <c r="J100" s="36">
        <f t="shared" si="46"/>
        <v>0.41986388888888887</v>
      </c>
      <c r="K100" s="36">
        <f t="shared" si="46"/>
        <v>1.4313960324074073</v>
      </c>
      <c r="L100" s="36">
        <f t="shared" si="46"/>
        <v>0.43112696758487645</v>
      </c>
      <c r="M100" s="36">
        <f t="shared" si="46"/>
        <v>1.4426638196297197</v>
      </c>
      <c r="N100" s="36">
        <f t="shared" si="46"/>
        <v>0.44239782043774328</v>
      </c>
      <c r="O100" s="36">
        <f t="shared" si="46"/>
        <v>0.45393613291072271</v>
      </c>
      <c r="P100" s="36">
        <f t="shared" si="46"/>
        <v>0.45367002598192119</v>
      </c>
      <c r="Q100" s="44">
        <f>SUM(E100:P100)</f>
        <v>10.128388021174613</v>
      </c>
    </row>
    <row r="101" spans="2:17" x14ac:dyDescent="0.45">
      <c r="B101" t="s">
        <v>471</v>
      </c>
      <c r="C101" s="43" t="s">
        <v>333</v>
      </c>
      <c r="D101" s="15" t="s">
        <v>472</v>
      </c>
      <c r="E101" s="36">
        <f t="shared" ref="E101:P101" si="47">E97*mAttr</f>
        <v>0.40833333333333333</v>
      </c>
      <c r="F101" s="36">
        <f t="shared" si="47"/>
        <v>0.42000000000000004</v>
      </c>
      <c r="G101" s="36">
        <f t="shared" si="47"/>
        <v>0.41986388888888887</v>
      </c>
      <c r="H101" s="36">
        <f t="shared" si="47"/>
        <v>0.43139603240740731</v>
      </c>
      <c r="I101" s="36">
        <f t="shared" si="47"/>
        <v>0.43112696758487645</v>
      </c>
      <c r="J101" s="36">
        <f t="shared" si="47"/>
        <v>0.44266381962971962</v>
      </c>
      <c r="K101" s="36">
        <f t="shared" si="47"/>
        <v>0.44239782043774328</v>
      </c>
      <c r="L101" s="36">
        <f t="shared" si="47"/>
        <v>0.45393613291072271</v>
      </c>
      <c r="M101" s="36">
        <f t="shared" si="47"/>
        <v>0.45367002598192119</v>
      </c>
      <c r="N101" s="36">
        <f t="shared" si="47"/>
        <v>0.46520828690781219</v>
      </c>
      <c r="O101" s="36">
        <f t="shared" si="47"/>
        <v>0.46494216479899469</v>
      </c>
      <c r="P101" s="36">
        <f t="shared" si="47"/>
        <v>0.46481376109363143</v>
      </c>
      <c r="Q101" s="44">
        <f>SUM(E101:P101)</f>
        <v>5.2983522339750504</v>
      </c>
    </row>
    <row r="102" spans="2:17" x14ac:dyDescent="0.45">
      <c r="B102" s="4" t="s">
        <v>473</v>
      </c>
      <c r="C102" s="43" t="s">
        <v>333</v>
      </c>
      <c r="D102" s="15" t="s">
        <v>474</v>
      </c>
      <c r="E102" s="44">
        <f t="shared" ref="E102:P102" si="48">E97+E100-E101</f>
        <v>36</v>
      </c>
      <c r="F102" s="44">
        <f t="shared" si="48"/>
        <v>35.98833333333333</v>
      </c>
      <c r="G102" s="44">
        <f t="shared" si="48"/>
        <v>36.97680277777777</v>
      </c>
      <c r="H102" s="44">
        <f t="shared" si="48"/>
        <v>36.953740078703696</v>
      </c>
      <c r="I102" s="44">
        <f t="shared" si="48"/>
        <v>37.942613111118824</v>
      </c>
      <c r="J102" s="44">
        <f t="shared" si="48"/>
        <v>37.919813180377993</v>
      </c>
      <c r="K102" s="44">
        <f t="shared" si="48"/>
        <v>38.908811392347658</v>
      </c>
      <c r="L102" s="44">
        <f t="shared" si="48"/>
        <v>38.886002227021812</v>
      </c>
      <c r="M102" s="44">
        <f t="shared" si="48"/>
        <v>39.874996020669613</v>
      </c>
      <c r="N102" s="44">
        <f t="shared" si="48"/>
        <v>39.852185554199544</v>
      </c>
      <c r="O102" s="44">
        <f t="shared" si="48"/>
        <v>39.841179522311265</v>
      </c>
      <c r="P102" s="44">
        <f t="shared" si="48"/>
        <v>39.830035787199556</v>
      </c>
      <c r="Q102" s="44">
        <f>P102</f>
        <v>39.830035787199556</v>
      </c>
    </row>
    <row r="103" spans="2:17" x14ac:dyDescent="0.45">
      <c r="B103" t="s">
        <v>475</v>
      </c>
      <c r="C103" s="43" t="s">
        <v>333</v>
      </c>
      <c r="D103" s="15" t="s">
        <v>476</v>
      </c>
      <c r="E103" s="36">
        <f t="shared" ref="E103:P103" si="49">E97+E100</f>
        <v>36.408333333333331</v>
      </c>
      <c r="F103" s="36">
        <f t="shared" si="49"/>
        <v>36.408333333333331</v>
      </c>
      <c r="G103" s="36">
        <f t="shared" si="49"/>
        <v>37.396666666666661</v>
      </c>
      <c r="H103" s="36">
        <f t="shared" si="49"/>
        <v>37.385136111111102</v>
      </c>
      <c r="I103" s="36">
        <f t="shared" si="49"/>
        <v>38.373740078703698</v>
      </c>
      <c r="J103" s="36">
        <f t="shared" si="49"/>
        <v>38.362477000007715</v>
      </c>
      <c r="K103" s="36">
        <f t="shared" si="49"/>
        <v>39.351209212785399</v>
      </c>
      <c r="L103" s="36">
        <f t="shared" si="49"/>
        <v>39.339938359932532</v>
      </c>
      <c r="M103" s="36">
        <f t="shared" si="49"/>
        <v>40.328666046651534</v>
      </c>
      <c r="N103" s="36">
        <f t="shared" si="49"/>
        <v>40.317393841107354</v>
      </c>
      <c r="O103" s="36">
        <f t="shared" si="49"/>
        <v>40.306121687110263</v>
      </c>
      <c r="P103" s="36">
        <f t="shared" si="49"/>
        <v>40.294849548293186</v>
      </c>
      <c r="Q103" s="44">
        <f>AVERAGE(E103:P103)</f>
        <v>38.689405434919678</v>
      </c>
    </row>
    <row r="104" spans="2:17" x14ac:dyDescent="0.45">
      <c r="B104" t="s">
        <v>477</v>
      </c>
      <c r="C104" s="43" t="s">
        <v>333</v>
      </c>
      <c r="D104" s="15" t="s">
        <v>478</v>
      </c>
      <c r="E104" s="36">
        <f>SUMPRODUCT($E101:E101,--($E$4:E$4&gt;=E$4-Lag+1))</f>
        <v>0.40833333333333333</v>
      </c>
      <c r="F104" s="36">
        <f>SUMPRODUCT($E101:F101,--($E$4:F$4&gt;=F$4-Lag+1))</f>
        <v>0.82833333333333337</v>
      </c>
      <c r="G104" s="36">
        <f>SUMPRODUCT($E101:G101,--($E$4:G$4&gt;=G$4-Lag+1))</f>
        <v>1.2481972222222222</v>
      </c>
      <c r="H104" s="36">
        <f>SUMPRODUCT($E101:H101,--($E$4:H$4&gt;=H$4-Lag+1))</f>
        <v>1.2712599212962963</v>
      </c>
      <c r="I104" s="36">
        <f>SUMPRODUCT($E101:I101,--($E$4:I$4&gt;=I$4-Lag+1))</f>
        <v>1.2823868888811725</v>
      </c>
      <c r="J104" s="36">
        <f>SUMPRODUCT($E101:J101,--($E$4:J$4&gt;=J$4-Lag+1))</f>
        <v>1.3051868196220033</v>
      </c>
      <c r="K104" s="36">
        <f>SUMPRODUCT($E101:K101,--($E$4:K$4&gt;=K$4-Lag+1))</f>
        <v>1.3161886076523392</v>
      </c>
      <c r="L104" s="36">
        <f>SUMPRODUCT($E101:L101,--($E$4:L$4&gt;=L$4-Lag+1))</f>
        <v>1.3389977729781857</v>
      </c>
      <c r="M104" s="36">
        <f>SUMPRODUCT($E101:M101,--($E$4:M$4&gt;=M$4-Lag+1))</f>
        <v>1.3500039793303871</v>
      </c>
      <c r="N104" s="36">
        <f>SUMPRODUCT($E101:N101,--($E$4:N$4&gt;=N$4-Lag+1))</f>
        <v>1.3728144458004561</v>
      </c>
      <c r="O104" s="36">
        <f>SUMPRODUCT($E101:O101,--($E$4:O$4&gt;=O$4-Lag+1))</f>
        <v>1.383820477688728</v>
      </c>
      <c r="P104" s="36">
        <f>SUMPRODUCT($E101:P101,--($E$4:P$4&gt;=P$4-Lag+1))</f>
        <v>1.3949642128004383</v>
      </c>
      <c r="Q104" s="44">
        <f>AVERAGE(E104:P104)</f>
        <v>1.2083739179115744</v>
      </c>
    </row>
    <row r="106" spans="2:17" x14ac:dyDescent="0.45">
      <c r="B106" s="4" t="s">
        <v>455</v>
      </c>
    </row>
    <row r="107" spans="2:17" x14ac:dyDescent="0.45">
      <c r="B107" t="s">
        <v>463</v>
      </c>
      <c r="C107" s="43" t="s">
        <v>333</v>
      </c>
      <c r="D107" s="15" t="s">
        <v>464</v>
      </c>
      <c r="E107" s="36">
        <f>Inputs!$K$58</f>
        <v>18</v>
      </c>
      <c r="F107" s="36">
        <f t="shared" ref="F107:P107" si="50">E112</f>
        <v>18</v>
      </c>
      <c r="G107" s="36">
        <f t="shared" si="50"/>
        <v>19</v>
      </c>
      <c r="H107" s="36">
        <f t="shared" si="50"/>
        <v>18.988333333333333</v>
      </c>
      <c r="I107" s="36">
        <f t="shared" si="50"/>
        <v>18.976802777777777</v>
      </c>
      <c r="J107" s="36">
        <f t="shared" si="50"/>
        <v>18.96540674537037</v>
      </c>
      <c r="K107" s="36">
        <f t="shared" si="50"/>
        <v>19.96581033334105</v>
      </c>
      <c r="L107" s="36">
        <f t="shared" si="50"/>
        <v>19.954406435007627</v>
      </c>
      <c r="M107" s="36">
        <f t="shared" si="50"/>
        <v>19.943001059006612</v>
      </c>
      <c r="N107" s="36">
        <f t="shared" si="50"/>
        <v>19.931595792014189</v>
      </c>
      <c r="O107" s="36">
        <f t="shared" si="50"/>
        <v>20.931994961663005</v>
      </c>
      <c r="P107" s="36">
        <f t="shared" si="50"/>
        <v>20.920589762185362</v>
      </c>
      <c r="Q107" s="44">
        <f>E107</f>
        <v>18</v>
      </c>
    </row>
    <row r="108" spans="2:17" x14ac:dyDescent="0.45">
      <c r="B108" t="s">
        <v>465</v>
      </c>
      <c r="C108" s="43" t="s">
        <v>333</v>
      </c>
      <c r="D108" s="15" t="s">
        <v>466</v>
      </c>
      <c r="E108" s="36">
        <f>Hires!E80</f>
        <v>0</v>
      </c>
      <c r="F108" s="36">
        <f>Hires!F80</f>
        <v>1</v>
      </c>
      <c r="G108" s="36">
        <f>Hires!G80</f>
        <v>0</v>
      </c>
      <c r="H108" s="36">
        <f>Hires!H80</f>
        <v>0</v>
      </c>
      <c r="I108" s="36">
        <f>Hires!I80</f>
        <v>0</v>
      </c>
      <c r="J108" s="36">
        <f>Hires!J80</f>
        <v>1</v>
      </c>
      <c r="K108" s="36">
        <f>Hires!K80</f>
        <v>0</v>
      </c>
      <c r="L108" s="36">
        <f>Hires!L80</f>
        <v>0</v>
      </c>
      <c r="M108" s="36">
        <f>Hires!M80</f>
        <v>0</v>
      </c>
      <c r="N108" s="36">
        <f>Hires!N80</f>
        <v>1</v>
      </c>
      <c r="O108" s="36">
        <f>Hires!O80</f>
        <v>0</v>
      </c>
      <c r="P108" s="36">
        <f>Hires!P80</f>
        <v>0</v>
      </c>
      <c r="Q108" s="44">
        <f>SUM(E108:P108)</f>
        <v>3</v>
      </c>
    </row>
    <row r="109" spans="2:17" x14ac:dyDescent="0.45">
      <c r="B109" t="s">
        <v>467</v>
      </c>
      <c r="C109" s="43" t="s">
        <v>333</v>
      </c>
      <c r="D109" s="15" t="s">
        <v>468</v>
      </c>
      <c r="E109" s="36">
        <f>IF(Lag=0,E111,Inputs!$K$58*mAttr)</f>
        <v>0.21000000000000002</v>
      </c>
      <c r="F109" s="36">
        <f>IF(Lag=0,F111,IF(Lag=1,E111,Inputs!$K$58*mAttr))</f>
        <v>0.21000000000000002</v>
      </c>
      <c r="G109" s="36">
        <f>IF(Lag=0,G111,IF(Lag=1,F111,IF(Lag=2,E111,Inputs!$K$58*mAttr)))</f>
        <v>0.21000000000000002</v>
      </c>
      <c r="H109" s="36">
        <f>IF(Lag=0,H111,IF(Lag=1,G111,IF(Lag=2,F111,IF(Lag=3,E111,Inputs!$K$58*mAttr))))</f>
        <v>0.21000000000000002</v>
      </c>
      <c r="I109" s="36">
        <f>IF(Lag=0,I111,IF(Lag=1,H111,IF(Lag=2,G111,IF(Lag=3,F111,IF(Lag=4,E111,Inputs!$K$58*mAttr)))))</f>
        <v>0.21000000000000002</v>
      </c>
      <c r="J109" s="36">
        <f>IF(Lag=0,J111,IF(Lag=1,I111,IF(Lag=2,H111,IF(Lag=3,G111,IF(Lag=4,F111,IF(Lag=5,E111,Inputs!$K$58*mAttr))))))</f>
        <v>0.22166666666666668</v>
      </c>
      <c r="K109" s="36">
        <f>IF(Lag=0,K111,IF(Lag=1,J111,IF(Lag=2,I111,IF(Lag=3,H111,IF(Lag=4,G111,IF(Lag=5,F111,IF(Lag=6,E111,Inputs!$K$58*mAttr)))))))</f>
        <v>0.22153055555555556</v>
      </c>
      <c r="L109" s="36">
        <f>IF(Lag=0,L111,IF(Lag=1,K111,IF(Lag=2,J111,IF(Lag=3,I111,IF(Lag=4,H111,IF(Lag=5,G111,IF(Lag=6,F111,IF(Lag=7,E111,Inputs!$K$58*mAttr))))))))</f>
        <v>0.22139603240740741</v>
      </c>
      <c r="M109" s="36">
        <f>IF(Lag=0,M111,IF(Lag=1,L111,IF(Lag=2,K111,IF(Lag=3,J111,IF(Lag=4,I111,IF(Lag=5,H111,IF(Lag=6,G111,IF(Lag=7,F111,IF(Lag=8,E111,Inputs!$K$58*mAttr)))))))))</f>
        <v>0.22126307869598766</v>
      </c>
      <c r="N109" s="36">
        <f>IF(Lag=0,N111,IF(Lag=1,M111,IF(Lag=2,L111,IF(Lag=3,K111,IF(Lag=4,J111,IF(Lag=5,I111,IF(Lag=6,H111,IF(Lag=7,G111,IF(Lag=8,F111,IF(Lag=9,E111,Inputs!$K$58*mAttr))))))))))</f>
        <v>0.23293445388897893</v>
      </c>
      <c r="O109" s="36">
        <f>IF(Lag=0,O111,IF(Lag=1,N111,IF(Lag=2,M111,IF(Lag=3,L111,IF(Lag=4,K111,IF(Lag=5,J111,IF(Lag=6,I111,IF(Lag=7,H111,IF(Lag=8,G111,IF(Lag=9,F111,IF(Lag=10,E111,Inputs!$K$58*mAttr)))))))))))</f>
        <v>0.23280140840842231</v>
      </c>
      <c r="P109" s="36">
        <f>IF(Lag=0,P111,IF(Lag=1,O111,IF(Lag=2,N111,IF(Lag=3,M111,IF(Lag=4,L111,IF(Lag=5,K111,IF(Lag=6,J111,IF(Lag=7,I111,IF(Lag=8,H111,IF(Lag=9,G111,IF(Lag=10,F111,IF(Lag=11,E111,Inputs!$K$58*mAttr))))))))))))</f>
        <v>0.23266834568841049</v>
      </c>
      <c r="Q109" s="44">
        <f>SUM(E109:P109)</f>
        <v>2.6342605413114293</v>
      </c>
    </row>
    <row r="110" spans="2:17" x14ac:dyDescent="0.45">
      <c r="B110" t="s">
        <v>469</v>
      </c>
      <c r="C110" s="43" t="s">
        <v>333</v>
      </c>
      <c r="D110" s="15" t="s">
        <v>470</v>
      </c>
      <c r="E110" s="36">
        <f t="shared" ref="E110:P110" si="51">E108+E109</f>
        <v>0.21000000000000002</v>
      </c>
      <c r="F110" s="36">
        <f t="shared" si="51"/>
        <v>1.21</v>
      </c>
      <c r="G110" s="36">
        <f t="shared" si="51"/>
        <v>0.21000000000000002</v>
      </c>
      <c r="H110" s="36">
        <f t="shared" si="51"/>
        <v>0.21000000000000002</v>
      </c>
      <c r="I110" s="36">
        <f t="shared" si="51"/>
        <v>0.21000000000000002</v>
      </c>
      <c r="J110" s="36">
        <f t="shared" si="51"/>
        <v>1.2216666666666667</v>
      </c>
      <c r="K110" s="36">
        <f t="shared" si="51"/>
        <v>0.22153055555555556</v>
      </c>
      <c r="L110" s="36">
        <f t="shared" si="51"/>
        <v>0.22139603240740741</v>
      </c>
      <c r="M110" s="36">
        <f t="shared" si="51"/>
        <v>0.22126307869598766</v>
      </c>
      <c r="N110" s="36">
        <f t="shared" si="51"/>
        <v>1.232934453888979</v>
      </c>
      <c r="O110" s="36">
        <f t="shared" si="51"/>
        <v>0.23280140840842231</v>
      </c>
      <c r="P110" s="36">
        <f t="shared" si="51"/>
        <v>0.23266834568841049</v>
      </c>
      <c r="Q110" s="44">
        <f>SUM(E110:P110)</f>
        <v>5.6342605413114288</v>
      </c>
    </row>
    <row r="111" spans="2:17" x14ac:dyDescent="0.45">
      <c r="B111" t="s">
        <v>471</v>
      </c>
      <c r="C111" s="43" t="s">
        <v>333</v>
      </c>
      <c r="D111" s="15" t="s">
        <v>472</v>
      </c>
      <c r="E111" s="36">
        <f t="shared" ref="E111:P111" si="52">E107*mAttr</f>
        <v>0.21000000000000002</v>
      </c>
      <c r="F111" s="36">
        <f t="shared" si="52"/>
        <v>0.21000000000000002</v>
      </c>
      <c r="G111" s="36">
        <f t="shared" si="52"/>
        <v>0.22166666666666668</v>
      </c>
      <c r="H111" s="36">
        <f t="shared" si="52"/>
        <v>0.22153055555555556</v>
      </c>
      <c r="I111" s="36">
        <f t="shared" si="52"/>
        <v>0.22139603240740741</v>
      </c>
      <c r="J111" s="36">
        <f t="shared" si="52"/>
        <v>0.22126307869598766</v>
      </c>
      <c r="K111" s="36">
        <f t="shared" si="52"/>
        <v>0.23293445388897893</v>
      </c>
      <c r="L111" s="36">
        <f t="shared" si="52"/>
        <v>0.23280140840842231</v>
      </c>
      <c r="M111" s="36">
        <f t="shared" si="52"/>
        <v>0.23266834568841049</v>
      </c>
      <c r="N111" s="36">
        <f t="shared" si="52"/>
        <v>0.23253528424016556</v>
      </c>
      <c r="O111" s="36">
        <f t="shared" si="52"/>
        <v>0.24420660788606841</v>
      </c>
      <c r="P111" s="36">
        <f t="shared" si="52"/>
        <v>0.2440735472254959</v>
      </c>
      <c r="Q111" s="44">
        <f>SUM(E111:P111)</f>
        <v>2.7250759806631586</v>
      </c>
    </row>
    <row r="112" spans="2:17" x14ac:dyDescent="0.45">
      <c r="B112" s="4" t="s">
        <v>473</v>
      </c>
      <c r="C112" s="43" t="s">
        <v>333</v>
      </c>
      <c r="D112" s="15" t="s">
        <v>474</v>
      </c>
      <c r="E112" s="44">
        <f t="shared" ref="E112:P112" si="53">E107+E110-E111</f>
        <v>18</v>
      </c>
      <c r="F112" s="44">
        <f t="shared" si="53"/>
        <v>19</v>
      </c>
      <c r="G112" s="44">
        <f t="shared" si="53"/>
        <v>18.988333333333333</v>
      </c>
      <c r="H112" s="44">
        <f t="shared" si="53"/>
        <v>18.976802777777777</v>
      </c>
      <c r="I112" s="44">
        <f t="shared" si="53"/>
        <v>18.96540674537037</v>
      </c>
      <c r="J112" s="44">
        <f t="shared" si="53"/>
        <v>19.96581033334105</v>
      </c>
      <c r="K112" s="44">
        <f t="shared" si="53"/>
        <v>19.954406435007627</v>
      </c>
      <c r="L112" s="44">
        <f t="shared" si="53"/>
        <v>19.943001059006612</v>
      </c>
      <c r="M112" s="44">
        <f t="shared" si="53"/>
        <v>19.931595792014189</v>
      </c>
      <c r="N112" s="44">
        <f t="shared" si="53"/>
        <v>20.931994961663005</v>
      </c>
      <c r="O112" s="44">
        <f t="shared" si="53"/>
        <v>20.920589762185362</v>
      </c>
      <c r="P112" s="44">
        <f t="shared" si="53"/>
        <v>20.909184560648274</v>
      </c>
      <c r="Q112" s="44">
        <f>P112</f>
        <v>20.909184560648274</v>
      </c>
    </row>
    <row r="113" spans="2:17" x14ac:dyDescent="0.45">
      <c r="B113" t="s">
        <v>475</v>
      </c>
      <c r="C113" s="43" t="s">
        <v>333</v>
      </c>
      <c r="D113" s="15" t="s">
        <v>476</v>
      </c>
      <c r="E113" s="36">
        <f t="shared" ref="E113:P113" si="54">E107+E110</f>
        <v>18.21</v>
      </c>
      <c r="F113" s="36">
        <f t="shared" si="54"/>
        <v>19.21</v>
      </c>
      <c r="G113" s="36">
        <f t="shared" si="54"/>
        <v>19.21</v>
      </c>
      <c r="H113" s="36">
        <f t="shared" si="54"/>
        <v>19.198333333333334</v>
      </c>
      <c r="I113" s="36">
        <f t="shared" si="54"/>
        <v>19.186802777777778</v>
      </c>
      <c r="J113" s="36">
        <f t="shared" si="54"/>
        <v>20.187073412037037</v>
      </c>
      <c r="K113" s="36">
        <f t="shared" si="54"/>
        <v>20.187340888896607</v>
      </c>
      <c r="L113" s="36">
        <f t="shared" si="54"/>
        <v>20.175802467415036</v>
      </c>
      <c r="M113" s="36">
        <f t="shared" si="54"/>
        <v>20.164264137702599</v>
      </c>
      <c r="N113" s="36">
        <f t="shared" si="54"/>
        <v>21.164530245903169</v>
      </c>
      <c r="O113" s="36">
        <f t="shared" si="54"/>
        <v>21.164796370071429</v>
      </c>
      <c r="P113" s="36">
        <f t="shared" si="54"/>
        <v>21.153258107873771</v>
      </c>
      <c r="Q113" s="44">
        <f>AVERAGE(E113:P113)</f>
        <v>19.934350145084228</v>
      </c>
    </row>
    <row r="114" spans="2:17" x14ac:dyDescent="0.45">
      <c r="B114" t="s">
        <v>477</v>
      </c>
      <c r="C114" s="43" t="s">
        <v>333</v>
      </c>
      <c r="D114" s="15" t="s">
        <v>478</v>
      </c>
      <c r="E114" s="36">
        <f>SUMPRODUCT($E111:E111,--($E$4:E$4&gt;=E$4-Lag+1))</f>
        <v>0.21000000000000002</v>
      </c>
      <c r="F114" s="36">
        <f>SUMPRODUCT($E111:F111,--($E$4:F$4&gt;=F$4-Lag+1))</f>
        <v>0.42000000000000004</v>
      </c>
      <c r="G114" s="36">
        <f>SUMPRODUCT($E111:G111,--($E$4:G$4&gt;=G$4-Lag+1))</f>
        <v>0.64166666666666672</v>
      </c>
      <c r="H114" s="36">
        <f>SUMPRODUCT($E111:H111,--($E$4:H$4&gt;=H$4-Lag+1))</f>
        <v>0.65319722222222221</v>
      </c>
      <c r="I114" s="36">
        <f>SUMPRODUCT($E111:I111,--($E$4:I$4&gt;=I$4-Lag+1))</f>
        <v>0.66459325462962959</v>
      </c>
      <c r="J114" s="36">
        <f>SUMPRODUCT($E111:J111,--($E$4:J$4&gt;=J$4-Lag+1))</f>
        <v>0.66418966665895063</v>
      </c>
      <c r="K114" s="36">
        <f>SUMPRODUCT($E111:K111,--($E$4:K$4&gt;=K$4-Lag+1))</f>
        <v>0.675593564992374</v>
      </c>
      <c r="L114" s="36">
        <f>SUMPRODUCT($E111:L111,--($E$4:L$4&gt;=L$4-Lag+1))</f>
        <v>0.68699894099338887</v>
      </c>
      <c r="M114" s="36">
        <f>SUMPRODUCT($E111:M111,--($E$4:M$4&gt;=M$4-Lag+1))</f>
        <v>0.69840420798581171</v>
      </c>
      <c r="N114" s="36">
        <f>SUMPRODUCT($E111:N111,--($E$4:N$4&gt;=N$4-Lag+1))</f>
        <v>0.69800503833699834</v>
      </c>
      <c r="O114" s="36">
        <f>SUMPRODUCT($E111:O111,--($E$4:O$4&gt;=O$4-Lag+1))</f>
        <v>0.70941023781464452</v>
      </c>
      <c r="P114" s="36">
        <f>SUMPRODUCT($E111:P111,--($E$4:P$4&gt;=P$4-Lag+1))</f>
        <v>0.72081543935172987</v>
      </c>
      <c r="Q114" s="44">
        <f>AVERAGE(E114:P114)</f>
        <v>0.62023951997103477</v>
      </c>
    </row>
    <row r="116" spans="2:17" x14ac:dyDescent="0.45">
      <c r="B116" s="4" t="s">
        <v>456</v>
      </c>
    </row>
    <row r="117" spans="2:17" x14ac:dyDescent="0.45">
      <c r="B117" t="s">
        <v>463</v>
      </c>
      <c r="C117" s="43" t="s">
        <v>333</v>
      </c>
      <c r="D117" s="15" t="s">
        <v>464</v>
      </c>
      <c r="E117" s="36">
        <f>Inputs!$K$59</f>
        <v>7</v>
      </c>
      <c r="F117" s="36">
        <f t="shared" ref="F117:P117" si="55">E122</f>
        <v>7</v>
      </c>
      <c r="G117" s="36">
        <f t="shared" si="55"/>
        <v>7</v>
      </c>
      <c r="H117" s="36">
        <f t="shared" si="55"/>
        <v>7</v>
      </c>
      <c r="I117" s="36">
        <f t="shared" si="55"/>
        <v>7</v>
      </c>
      <c r="J117" s="36">
        <f t="shared" si="55"/>
        <v>7</v>
      </c>
      <c r="K117" s="36">
        <f t="shared" si="55"/>
        <v>7</v>
      </c>
      <c r="L117" s="36">
        <f t="shared" si="55"/>
        <v>7</v>
      </c>
      <c r="M117" s="36">
        <f t="shared" si="55"/>
        <v>7</v>
      </c>
      <c r="N117" s="36">
        <f t="shared" si="55"/>
        <v>7</v>
      </c>
      <c r="O117" s="36">
        <f t="shared" si="55"/>
        <v>7</v>
      </c>
      <c r="P117" s="36">
        <f t="shared" si="55"/>
        <v>7</v>
      </c>
      <c r="Q117" s="44">
        <f>E117</f>
        <v>7</v>
      </c>
    </row>
    <row r="118" spans="2:17" x14ac:dyDescent="0.45">
      <c r="B118" t="s">
        <v>465</v>
      </c>
      <c r="C118" s="43" t="s">
        <v>333</v>
      </c>
      <c r="D118" s="15" t="s">
        <v>466</v>
      </c>
      <c r="E118" s="36">
        <f>Hires!E87</f>
        <v>0</v>
      </c>
      <c r="F118" s="36">
        <f>Hires!F87</f>
        <v>0</v>
      </c>
      <c r="G118" s="36">
        <f>Hires!G87</f>
        <v>0</v>
      </c>
      <c r="H118" s="36">
        <f>Hires!H87</f>
        <v>0</v>
      </c>
      <c r="I118" s="36">
        <f>Hires!I87</f>
        <v>0</v>
      </c>
      <c r="J118" s="36">
        <f>Hires!J87</f>
        <v>0</v>
      </c>
      <c r="K118" s="36">
        <f>Hires!K87</f>
        <v>0</v>
      </c>
      <c r="L118" s="36">
        <f>Hires!L87</f>
        <v>0</v>
      </c>
      <c r="M118" s="36">
        <f>Hires!M87</f>
        <v>0</v>
      </c>
      <c r="N118" s="36">
        <f>Hires!N87</f>
        <v>0</v>
      </c>
      <c r="O118" s="36">
        <f>Hires!O87</f>
        <v>0</v>
      </c>
      <c r="P118" s="36">
        <f>Hires!P87</f>
        <v>0</v>
      </c>
      <c r="Q118" s="44">
        <f>SUM(E118:P118)</f>
        <v>0</v>
      </c>
    </row>
    <row r="119" spans="2:17" x14ac:dyDescent="0.45">
      <c r="B119" t="s">
        <v>467</v>
      </c>
      <c r="C119" s="43" t="s">
        <v>333</v>
      </c>
      <c r="D119" s="15" t="s">
        <v>468</v>
      </c>
      <c r="E119" s="36">
        <f>IF(Lag=0,E121,Inputs!$K$59*mAttr)</f>
        <v>8.1666666666666665E-2</v>
      </c>
      <c r="F119" s="36">
        <f>IF(Lag=0,F121,IF(Lag=1,E121,Inputs!$K$59*mAttr))</f>
        <v>8.1666666666666665E-2</v>
      </c>
      <c r="G119" s="36">
        <f>IF(Lag=0,G121,IF(Lag=1,F121,IF(Lag=2,E121,Inputs!$K$59*mAttr)))</f>
        <v>8.1666666666666665E-2</v>
      </c>
      <c r="H119" s="36">
        <f>IF(Lag=0,H121,IF(Lag=1,G121,IF(Lag=2,F121,IF(Lag=3,E121,Inputs!$K$59*mAttr))))</f>
        <v>8.1666666666666665E-2</v>
      </c>
      <c r="I119" s="36">
        <f>IF(Lag=0,I121,IF(Lag=1,H121,IF(Lag=2,G121,IF(Lag=3,F121,IF(Lag=4,E121,Inputs!$K$59*mAttr)))))</f>
        <v>8.1666666666666665E-2</v>
      </c>
      <c r="J119" s="36">
        <f>IF(Lag=0,J121,IF(Lag=1,I121,IF(Lag=2,H121,IF(Lag=3,G121,IF(Lag=4,F121,IF(Lag=5,E121,Inputs!$K$59*mAttr))))))</f>
        <v>8.1666666666666665E-2</v>
      </c>
      <c r="K119" s="36">
        <f>IF(Lag=0,K121,IF(Lag=1,J121,IF(Lag=2,I121,IF(Lag=3,H121,IF(Lag=4,G121,IF(Lag=5,F121,IF(Lag=6,E121,Inputs!$K$59*mAttr)))))))</f>
        <v>8.1666666666666665E-2</v>
      </c>
      <c r="L119" s="36">
        <f>IF(Lag=0,L121,IF(Lag=1,K121,IF(Lag=2,J121,IF(Lag=3,I121,IF(Lag=4,H121,IF(Lag=5,G121,IF(Lag=6,F121,IF(Lag=7,E121,Inputs!$K$59*mAttr))))))))</f>
        <v>8.1666666666666665E-2</v>
      </c>
      <c r="M119" s="36">
        <f>IF(Lag=0,M121,IF(Lag=1,L121,IF(Lag=2,K121,IF(Lag=3,J121,IF(Lag=4,I121,IF(Lag=5,H121,IF(Lag=6,G121,IF(Lag=7,F121,IF(Lag=8,E121,Inputs!$K$59*mAttr)))))))))</f>
        <v>8.1666666666666665E-2</v>
      </c>
      <c r="N119" s="36">
        <f>IF(Lag=0,N121,IF(Lag=1,M121,IF(Lag=2,L121,IF(Lag=3,K121,IF(Lag=4,J121,IF(Lag=5,I121,IF(Lag=6,H121,IF(Lag=7,G121,IF(Lag=8,F121,IF(Lag=9,E121,Inputs!$K$59*mAttr))))))))))</f>
        <v>8.1666666666666665E-2</v>
      </c>
      <c r="O119" s="36">
        <f>IF(Lag=0,O121,IF(Lag=1,N121,IF(Lag=2,M121,IF(Lag=3,L121,IF(Lag=4,K121,IF(Lag=5,J121,IF(Lag=6,I121,IF(Lag=7,H121,IF(Lag=8,G121,IF(Lag=9,F121,IF(Lag=10,E121,Inputs!$K$59*mAttr)))))))))))</f>
        <v>8.1666666666666665E-2</v>
      </c>
      <c r="P119" s="36">
        <f>IF(Lag=0,P121,IF(Lag=1,O121,IF(Lag=2,N121,IF(Lag=3,M121,IF(Lag=4,L121,IF(Lag=5,K121,IF(Lag=6,J121,IF(Lag=7,I121,IF(Lag=8,H121,IF(Lag=9,G121,IF(Lag=10,F121,IF(Lag=11,E121,Inputs!$K$59*mAttr))))))))))))</f>
        <v>8.1666666666666665E-2</v>
      </c>
      <c r="Q119" s="44">
        <f>SUM(E119:P119)</f>
        <v>0.98</v>
      </c>
    </row>
    <row r="120" spans="2:17" x14ac:dyDescent="0.45">
      <c r="B120" t="s">
        <v>469</v>
      </c>
      <c r="C120" s="43" t="s">
        <v>333</v>
      </c>
      <c r="D120" s="15" t="s">
        <v>470</v>
      </c>
      <c r="E120" s="36">
        <f t="shared" ref="E120:P120" si="56">E118+E119</f>
        <v>8.1666666666666665E-2</v>
      </c>
      <c r="F120" s="36">
        <f t="shared" si="56"/>
        <v>8.1666666666666665E-2</v>
      </c>
      <c r="G120" s="36">
        <f t="shared" si="56"/>
        <v>8.1666666666666665E-2</v>
      </c>
      <c r="H120" s="36">
        <f t="shared" si="56"/>
        <v>8.1666666666666665E-2</v>
      </c>
      <c r="I120" s="36">
        <f t="shared" si="56"/>
        <v>8.1666666666666665E-2</v>
      </c>
      <c r="J120" s="36">
        <f t="shared" si="56"/>
        <v>8.1666666666666665E-2</v>
      </c>
      <c r="K120" s="36">
        <f t="shared" si="56"/>
        <v>8.1666666666666665E-2</v>
      </c>
      <c r="L120" s="36">
        <f t="shared" si="56"/>
        <v>8.1666666666666665E-2</v>
      </c>
      <c r="M120" s="36">
        <f t="shared" si="56"/>
        <v>8.1666666666666665E-2</v>
      </c>
      <c r="N120" s="36">
        <f t="shared" si="56"/>
        <v>8.1666666666666665E-2</v>
      </c>
      <c r="O120" s="36">
        <f t="shared" si="56"/>
        <v>8.1666666666666665E-2</v>
      </c>
      <c r="P120" s="36">
        <f t="shared" si="56"/>
        <v>8.1666666666666665E-2</v>
      </c>
      <c r="Q120" s="44">
        <f>SUM(E120:P120)</f>
        <v>0.98</v>
      </c>
    </row>
    <row r="121" spans="2:17" x14ac:dyDescent="0.45">
      <c r="B121" t="s">
        <v>471</v>
      </c>
      <c r="C121" s="43" t="s">
        <v>333</v>
      </c>
      <c r="D121" s="15" t="s">
        <v>472</v>
      </c>
      <c r="E121" s="36">
        <f t="shared" ref="E121:P121" si="57">E117*mAttr</f>
        <v>8.1666666666666665E-2</v>
      </c>
      <c r="F121" s="36">
        <f t="shared" si="57"/>
        <v>8.1666666666666665E-2</v>
      </c>
      <c r="G121" s="36">
        <f t="shared" si="57"/>
        <v>8.1666666666666665E-2</v>
      </c>
      <c r="H121" s="36">
        <f t="shared" si="57"/>
        <v>8.1666666666666665E-2</v>
      </c>
      <c r="I121" s="36">
        <f t="shared" si="57"/>
        <v>8.1666666666666665E-2</v>
      </c>
      <c r="J121" s="36">
        <f t="shared" si="57"/>
        <v>8.1666666666666665E-2</v>
      </c>
      <c r="K121" s="36">
        <f t="shared" si="57"/>
        <v>8.1666666666666665E-2</v>
      </c>
      <c r="L121" s="36">
        <f t="shared" si="57"/>
        <v>8.1666666666666665E-2</v>
      </c>
      <c r="M121" s="36">
        <f t="shared" si="57"/>
        <v>8.1666666666666665E-2</v>
      </c>
      <c r="N121" s="36">
        <f t="shared" si="57"/>
        <v>8.1666666666666665E-2</v>
      </c>
      <c r="O121" s="36">
        <f t="shared" si="57"/>
        <v>8.1666666666666665E-2</v>
      </c>
      <c r="P121" s="36">
        <f t="shared" si="57"/>
        <v>8.1666666666666665E-2</v>
      </c>
      <c r="Q121" s="44">
        <f>SUM(E121:P121)</f>
        <v>0.98</v>
      </c>
    </row>
    <row r="122" spans="2:17" x14ac:dyDescent="0.45">
      <c r="B122" s="4" t="s">
        <v>473</v>
      </c>
      <c r="C122" s="43" t="s">
        <v>333</v>
      </c>
      <c r="D122" s="15" t="s">
        <v>474</v>
      </c>
      <c r="E122" s="44">
        <f t="shared" ref="E122:P122" si="58">E117+E120-E121</f>
        <v>7</v>
      </c>
      <c r="F122" s="44">
        <f t="shared" si="58"/>
        <v>7</v>
      </c>
      <c r="G122" s="44">
        <f t="shared" si="58"/>
        <v>7</v>
      </c>
      <c r="H122" s="44">
        <f t="shared" si="58"/>
        <v>7</v>
      </c>
      <c r="I122" s="44">
        <f t="shared" si="58"/>
        <v>7</v>
      </c>
      <c r="J122" s="44">
        <f t="shared" si="58"/>
        <v>7</v>
      </c>
      <c r="K122" s="44">
        <f t="shared" si="58"/>
        <v>7</v>
      </c>
      <c r="L122" s="44">
        <f t="shared" si="58"/>
        <v>7</v>
      </c>
      <c r="M122" s="44">
        <f t="shared" si="58"/>
        <v>7</v>
      </c>
      <c r="N122" s="44">
        <f t="shared" si="58"/>
        <v>7</v>
      </c>
      <c r="O122" s="44">
        <f t="shared" si="58"/>
        <v>7</v>
      </c>
      <c r="P122" s="44">
        <f t="shared" si="58"/>
        <v>7</v>
      </c>
      <c r="Q122" s="44">
        <f>P122</f>
        <v>7</v>
      </c>
    </row>
    <row r="123" spans="2:17" x14ac:dyDescent="0.45">
      <c r="B123" t="s">
        <v>475</v>
      </c>
      <c r="C123" s="43" t="s">
        <v>333</v>
      </c>
      <c r="D123" s="15" t="s">
        <v>476</v>
      </c>
      <c r="E123" s="36">
        <f t="shared" ref="E123:P123" si="59">E117+E120</f>
        <v>7.081666666666667</v>
      </c>
      <c r="F123" s="36">
        <f t="shared" si="59"/>
        <v>7.081666666666667</v>
      </c>
      <c r="G123" s="36">
        <f t="shared" si="59"/>
        <v>7.081666666666667</v>
      </c>
      <c r="H123" s="36">
        <f t="shared" si="59"/>
        <v>7.081666666666667</v>
      </c>
      <c r="I123" s="36">
        <f t="shared" si="59"/>
        <v>7.081666666666667</v>
      </c>
      <c r="J123" s="36">
        <f t="shared" si="59"/>
        <v>7.081666666666667</v>
      </c>
      <c r="K123" s="36">
        <f t="shared" si="59"/>
        <v>7.081666666666667</v>
      </c>
      <c r="L123" s="36">
        <f t="shared" si="59"/>
        <v>7.081666666666667</v>
      </c>
      <c r="M123" s="36">
        <f t="shared" si="59"/>
        <v>7.081666666666667</v>
      </c>
      <c r="N123" s="36">
        <f t="shared" si="59"/>
        <v>7.081666666666667</v>
      </c>
      <c r="O123" s="36">
        <f t="shared" si="59"/>
        <v>7.081666666666667</v>
      </c>
      <c r="P123" s="36">
        <f t="shared" si="59"/>
        <v>7.081666666666667</v>
      </c>
      <c r="Q123" s="44">
        <f>AVERAGE(E123:P123)</f>
        <v>7.0816666666666643</v>
      </c>
    </row>
    <row r="124" spans="2:17" x14ac:dyDescent="0.45">
      <c r="B124" t="s">
        <v>477</v>
      </c>
      <c r="C124" s="43" t="s">
        <v>333</v>
      </c>
      <c r="D124" s="15" t="s">
        <v>478</v>
      </c>
      <c r="E124" s="36">
        <f>SUMPRODUCT($E121:E121,--($E$4:E$4&gt;=E$4-Lag+1))</f>
        <v>8.1666666666666665E-2</v>
      </c>
      <c r="F124" s="36">
        <f>SUMPRODUCT($E121:F121,--($E$4:F$4&gt;=F$4-Lag+1))</f>
        <v>0.16333333333333333</v>
      </c>
      <c r="G124" s="36">
        <f>SUMPRODUCT($E121:G121,--($E$4:G$4&gt;=G$4-Lag+1))</f>
        <v>0.245</v>
      </c>
      <c r="H124" s="36">
        <f>SUMPRODUCT($E121:H121,--($E$4:H$4&gt;=H$4-Lag+1))</f>
        <v>0.245</v>
      </c>
      <c r="I124" s="36">
        <f>SUMPRODUCT($E121:I121,--($E$4:I$4&gt;=I$4-Lag+1))</f>
        <v>0.245</v>
      </c>
      <c r="J124" s="36">
        <f>SUMPRODUCT($E121:J121,--($E$4:J$4&gt;=J$4-Lag+1))</f>
        <v>0.245</v>
      </c>
      <c r="K124" s="36">
        <f>SUMPRODUCT($E121:K121,--($E$4:K$4&gt;=K$4-Lag+1))</f>
        <v>0.245</v>
      </c>
      <c r="L124" s="36">
        <f>SUMPRODUCT($E121:L121,--($E$4:L$4&gt;=L$4-Lag+1))</f>
        <v>0.245</v>
      </c>
      <c r="M124" s="36">
        <f>SUMPRODUCT($E121:M121,--($E$4:M$4&gt;=M$4-Lag+1))</f>
        <v>0.245</v>
      </c>
      <c r="N124" s="36">
        <f>SUMPRODUCT($E121:N121,--($E$4:N$4&gt;=N$4-Lag+1))</f>
        <v>0.245</v>
      </c>
      <c r="O124" s="36">
        <f>SUMPRODUCT($E121:O121,--($E$4:O$4&gt;=O$4-Lag+1))</f>
        <v>0.245</v>
      </c>
      <c r="P124" s="36">
        <f>SUMPRODUCT($E121:P121,--($E$4:P$4&gt;=P$4-Lag+1))</f>
        <v>0.245</v>
      </c>
      <c r="Q124" s="44">
        <f>AVERAGE(E124:P124)</f>
        <v>0.22458333333333338</v>
      </c>
    </row>
    <row r="126" spans="2:17" x14ac:dyDescent="0.45">
      <c r="B126" s="4" t="s">
        <v>457</v>
      </c>
    </row>
    <row r="127" spans="2:17" x14ac:dyDescent="0.45">
      <c r="B127" t="s">
        <v>463</v>
      </c>
      <c r="C127" s="43" t="s">
        <v>342</v>
      </c>
      <c r="D127" s="15" t="s">
        <v>464</v>
      </c>
      <c r="E127" s="36">
        <f>Inputs!$K$60</f>
        <v>27</v>
      </c>
      <c r="F127" s="36">
        <f t="shared" ref="F127:P127" si="60">E132</f>
        <v>28</v>
      </c>
      <c r="G127" s="36">
        <f t="shared" si="60"/>
        <v>27.988333333333333</v>
      </c>
      <c r="H127" s="36">
        <f t="shared" si="60"/>
        <v>27.976802777777777</v>
      </c>
      <c r="I127" s="36">
        <f t="shared" si="60"/>
        <v>28.96540674537037</v>
      </c>
      <c r="J127" s="36">
        <f t="shared" si="60"/>
        <v>28.954143666674383</v>
      </c>
      <c r="K127" s="36">
        <f t="shared" si="60"/>
        <v>28.942875879452071</v>
      </c>
      <c r="L127" s="36">
        <f t="shared" si="60"/>
        <v>28.931605026599208</v>
      </c>
      <c r="M127" s="36">
        <f t="shared" si="60"/>
        <v>29.93199937998487</v>
      </c>
      <c r="N127" s="36">
        <f t="shared" si="60"/>
        <v>29.920591063329582</v>
      </c>
      <c r="O127" s="36">
        <f t="shared" si="60"/>
        <v>29.909184386184343</v>
      </c>
      <c r="P127" s="36">
        <f t="shared" si="60"/>
        <v>29.897779293655852</v>
      </c>
      <c r="Q127" s="44">
        <f>E127</f>
        <v>27</v>
      </c>
    </row>
    <row r="128" spans="2:17" x14ac:dyDescent="0.45">
      <c r="B128" t="s">
        <v>465</v>
      </c>
      <c r="C128" s="43" t="s">
        <v>342</v>
      </c>
      <c r="D128" s="15" t="s">
        <v>466</v>
      </c>
      <c r="E128" s="36">
        <f>Hires!E94</f>
        <v>1</v>
      </c>
      <c r="F128" s="36">
        <f>Hires!F94</f>
        <v>0</v>
      </c>
      <c r="G128" s="36">
        <f>Hires!G94</f>
        <v>0</v>
      </c>
      <c r="H128" s="36">
        <f>Hires!H94</f>
        <v>1</v>
      </c>
      <c r="I128" s="36">
        <f>Hires!I94</f>
        <v>0</v>
      </c>
      <c r="J128" s="36">
        <f>Hires!J94</f>
        <v>0</v>
      </c>
      <c r="K128" s="36">
        <f>Hires!K94</f>
        <v>0</v>
      </c>
      <c r="L128" s="36">
        <f>Hires!L94</f>
        <v>1</v>
      </c>
      <c r="M128" s="36">
        <f>Hires!M94</f>
        <v>0</v>
      </c>
      <c r="N128" s="36">
        <f>Hires!N94</f>
        <v>0</v>
      </c>
      <c r="O128" s="36">
        <f>Hires!O94</f>
        <v>0</v>
      </c>
      <c r="P128" s="36">
        <f>Hires!P94</f>
        <v>0</v>
      </c>
      <c r="Q128" s="44">
        <f>SUM(E128:P128)</f>
        <v>3</v>
      </c>
    </row>
    <row r="129" spans="2:17" x14ac:dyDescent="0.45">
      <c r="B129" t="s">
        <v>467</v>
      </c>
      <c r="C129" s="43" t="s">
        <v>342</v>
      </c>
      <c r="D129" s="15" t="s">
        <v>468</v>
      </c>
      <c r="E129" s="36">
        <f>IF(Lag=0,E131,Inputs!$K$60*mAttr)</f>
        <v>0.315</v>
      </c>
      <c r="F129" s="36">
        <f>IF(Lag=0,F131,IF(Lag=1,E131,Inputs!$K$60*mAttr))</f>
        <v>0.315</v>
      </c>
      <c r="G129" s="36">
        <f>IF(Lag=0,G131,IF(Lag=1,F131,IF(Lag=2,E131,Inputs!$K$60*mAttr)))</f>
        <v>0.315</v>
      </c>
      <c r="H129" s="36">
        <f>IF(Lag=0,H131,IF(Lag=1,G131,IF(Lag=2,F131,IF(Lag=3,E131,Inputs!$K$60*mAttr))))</f>
        <v>0.315</v>
      </c>
      <c r="I129" s="36">
        <f>IF(Lag=0,I131,IF(Lag=1,H131,IF(Lag=2,G131,IF(Lag=3,F131,IF(Lag=4,E131,Inputs!$K$60*mAttr)))))</f>
        <v>0.32666666666666666</v>
      </c>
      <c r="J129" s="36">
        <f>IF(Lag=0,J131,IF(Lag=1,I131,IF(Lag=2,H131,IF(Lag=3,G131,IF(Lag=4,F131,IF(Lag=5,E131,Inputs!$K$60*mAttr))))))</f>
        <v>0.32653055555555555</v>
      </c>
      <c r="K129" s="36">
        <f>IF(Lag=0,K131,IF(Lag=1,J131,IF(Lag=2,I131,IF(Lag=3,H131,IF(Lag=4,G131,IF(Lag=5,F131,IF(Lag=6,E131,Inputs!$K$60*mAttr)))))))</f>
        <v>0.32639603240740744</v>
      </c>
      <c r="L129" s="36">
        <f>IF(Lag=0,L131,IF(Lag=1,K131,IF(Lag=2,J131,IF(Lag=3,I131,IF(Lag=4,H131,IF(Lag=5,G131,IF(Lag=6,F131,IF(Lag=7,E131,Inputs!$K$60*mAttr))))))))</f>
        <v>0.33792974536265435</v>
      </c>
      <c r="M129" s="36">
        <f>IF(Lag=0,M131,IF(Lag=1,L131,IF(Lag=2,K131,IF(Lag=3,J131,IF(Lag=4,I131,IF(Lag=5,H131,IF(Lag=6,G131,IF(Lag=7,F131,IF(Lag=8,E131,Inputs!$K$60*mAttr)))))))))</f>
        <v>0.3377983427778678</v>
      </c>
      <c r="N129" s="36">
        <f>IF(Lag=0,N131,IF(Lag=1,M131,IF(Lag=2,L131,IF(Lag=3,K131,IF(Lag=4,J131,IF(Lag=5,I131,IF(Lag=6,H131,IF(Lag=7,G131,IF(Lag=8,F131,IF(Lag=9,E131,Inputs!$K$60*mAttr))))))))))</f>
        <v>0.33766688526027416</v>
      </c>
      <c r="O129" s="36">
        <f>IF(Lag=0,O131,IF(Lag=1,N131,IF(Lag=2,M131,IF(Lag=3,L131,IF(Lag=4,K131,IF(Lag=5,J131,IF(Lag=6,I131,IF(Lag=7,H131,IF(Lag=8,G131,IF(Lag=9,F131,IF(Lag=10,E131,Inputs!$K$60*mAttr)))))))))))</f>
        <v>0.33753539197699078</v>
      </c>
      <c r="P129" s="36">
        <f>IF(Lag=0,P131,IF(Lag=1,O131,IF(Lag=2,N131,IF(Lag=3,M131,IF(Lag=4,L131,IF(Lag=5,K131,IF(Lag=6,J131,IF(Lag=7,I131,IF(Lag=8,H131,IF(Lag=9,G131,IF(Lag=10,F131,IF(Lag=11,E131,Inputs!$K$60*mAttr))))))))))))</f>
        <v>0.34920665943315682</v>
      </c>
      <c r="Q129" s="44">
        <f>SUM(E129:P129)</f>
        <v>3.9397302794405729</v>
      </c>
    </row>
    <row r="130" spans="2:17" x14ac:dyDescent="0.45">
      <c r="B130" t="s">
        <v>469</v>
      </c>
      <c r="C130" s="43" t="s">
        <v>342</v>
      </c>
      <c r="D130" s="15" t="s">
        <v>470</v>
      </c>
      <c r="E130" s="36">
        <f t="shared" ref="E130:P130" si="61">E128+E129</f>
        <v>1.3149999999999999</v>
      </c>
      <c r="F130" s="36">
        <f t="shared" si="61"/>
        <v>0.315</v>
      </c>
      <c r="G130" s="36">
        <f t="shared" si="61"/>
        <v>0.315</v>
      </c>
      <c r="H130" s="36">
        <f t="shared" si="61"/>
        <v>1.3149999999999999</v>
      </c>
      <c r="I130" s="36">
        <f t="shared" si="61"/>
        <v>0.32666666666666666</v>
      </c>
      <c r="J130" s="36">
        <f t="shared" si="61"/>
        <v>0.32653055555555555</v>
      </c>
      <c r="K130" s="36">
        <f t="shared" si="61"/>
        <v>0.32639603240740744</v>
      </c>
      <c r="L130" s="36">
        <f t="shared" si="61"/>
        <v>1.3379297453626544</v>
      </c>
      <c r="M130" s="36">
        <f t="shared" si="61"/>
        <v>0.3377983427778678</v>
      </c>
      <c r="N130" s="36">
        <f t="shared" si="61"/>
        <v>0.33766688526027416</v>
      </c>
      <c r="O130" s="36">
        <f t="shared" si="61"/>
        <v>0.33753539197699078</v>
      </c>
      <c r="P130" s="36">
        <f t="shared" si="61"/>
        <v>0.34920665943315682</v>
      </c>
      <c r="Q130" s="44">
        <f>SUM(E130:P130)</f>
        <v>6.9397302794405737</v>
      </c>
    </row>
    <row r="131" spans="2:17" x14ac:dyDescent="0.45">
      <c r="B131" t="s">
        <v>471</v>
      </c>
      <c r="C131" s="43" t="s">
        <v>342</v>
      </c>
      <c r="D131" s="15" t="s">
        <v>472</v>
      </c>
      <c r="E131" s="36">
        <f t="shared" ref="E131:P131" si="62">E127*mAttr</f>
        <v>0.315</v>
      </c>
      <c r="F131" s="36">
        <f t="shared" si="62"/>
        <v>0.32666666666666666</v>
      </c>
      <c r="G131" s="36">
        <f t="shared" si="62"/>
        <v>0.32653055555555555</v>
      </c>
      <c r="H131" s="36">
        <f t="shared" si="62"/>
        <v>0.32639603240740744</v>
      </c>
      <c r="I131" s="36">
        <f t="shared" si="62"/>
        <v>0.33792974536265435</v>
      </c>
      <c r="J131" s="36">
        <f t="shared" si="62"/>
        <v>0.3377983427778678</v>
      </c>
      <c r="K131" s="36">
        <f t="shared" si="62"/>
        <v>0.33766688526027416</v>
      </c>
      <c r="L131" s="36">
        <f t="shared" si="62"/>
        <v>0.33753539197699078</v>
      </c>
      <c r="M131" s="36">
        <f t="shared" si="62"/>
        <v>0.34920665943315682</v>
      </c>
      <c r="N131" s="36">
        <f t="shared" si="62"/>
        <v>0.34907356240551179</v>
      </c>
      <c r="O131" s="36">
        <f t="shared" si="62"/>
        <v>0.34894048450548404</v>
      </c>
      <c r="P131" s="36">
        <f t="shared" si="62"/>
        <v>0.34880742509265161</v>
      </c>
      <c r="Q131" s="44">
        <f>SUM(E131:P131)</f>
        <v>4.0415517514442207</v>
      </c>
    </row>
    <row r="132" spans="2:17" x14ac:dyDescent="0.45">
      <c r="B132" s="4" t="s">
        <v>473</v>
      </c>
      <c r="C132" s="43" t="s">
        <v>342</v>
      </c>
      <c r="D132" s="15" t="s">
        <v>474</v>
      </c>
      <c r="E132" s="44">
        <f t="shared" ref="E132:P132" si="63">E127+E130-E131</f>
        <v>28</v>
      </c>
      <c r="F132" s="44">
        <f t="shared" si="63"/>
        <v>27.988333333333333</v>
      </c>
      <c r="G132" s="44">
        <f t="shared" si="63"/>
        <v>27.976802777777777</v>
      </c>
      <c r="H132" s="44">
        <f t="shared" si="63"/>
        <v>28.96540674537037</v>
      </c>
      <c r="I132" s="44">
        <f t="shared" si="63"/>
        <v>28.954143666674383</v>
      </c>
      <c r="J132" s="44">
        <f t="shared" si="63"/>
        <v>28.942875879452071</v>
      </c>
      <c r="K132" s="44">
        <f t="shared" si="63"/>
        <v>28.931605026599208</v>
      </c>
      <c r="L132" s="44">
        <f t="shared" si="63"/>
        <v>29.93199937998487</v>
      </c>
      <c r="M132" s="44">
        <f t="shared" si="63"/>
        <v>29.920591063329582</v>
      </c>
      <c r="N132" s="44">
        <f t="shared" si="63"/>
        <v>29.909184386184343</v>
      </c>
      <c r="O132" s="44">
        <f t="shared" si="63"/>
        <v>29.897779293655852</v>
      </c>
      <c r="P132" s="44">
        <f t="shared" si="63"/>
        <v>29.898178527996357</v>
      </c>
      <c r="Q132" s="44">
        <f>P132</f>
        <v>29.898178527996357</v>
      </c>
    </row>
    <row r="133" spans="2:17" x14ac:dyDescent="0.45">
      <c r="B133" t="s">
        <v>475</v>
      </c>
      <c r="C133" s="43" t="s">
        <v>342</v>
      </c>
      <c r="D133" s="15" t="s">
        <v>476</v>
      </c>
      <c r="E133" s="36">
        <f t="shared" ref="E133:P133" si="64">E127+E130</f>
        <v>28.315000000000001</v>
      </c>
      <c r="F133" s="36">
        <f t="shared" si="64"/>
        <v>28.315000000000001</v>
      </c>
      <c r="G133" s="36">
        <f t="shared" si="64"/>
        <v>28.303333333333335</v>
      </c>
      <c r="H133" s="36">
        <f t="shared" si="64"/>
        <v>29.291802777777779</v>
      </c>
      <c r="I133" s="36">
        <f t="shared" si="64"/>
        <v>29.292073412037038</v>
      </c>
      <c r="J133" s="36">
        <f t="shared" si="64"/>
        <v>29.280674222229941</v>
      </c>
      <c r="K133" s="36">
        <f t="shared" si="64"/>
        <v>29.26927191185948</v>
      </c>
      <c r="L133" s="36">
        <f t="shared" si="64"/>
        <v>30.269534771961862</v>
      </c>
      <c r="M133" s="36">
        <f t="shared" si="64"/>
        <v>30.269797722762739</v>
      </c>
      <c r="N133" s="36">
        <f t="shared" si="64"/>
        <v>30.258257948589854</v>
      </c>
      <c r="O133" s="36">
        <f t="shared" si="64"/>
        <v>30.246719778161335</v>
      </c>
      <c r="P133" s="36">
        <f t="shared" si="64"/>
        <v>30.246985953089009</v>
      </c>
      <c r="Q133" s="44">
        <f>AVERAGE(E133:P133)</f>
        <v>29.446537652650196</v>
      </c>
    </row>
    <row r="134" spans="2:17" x14ac:dyDescent="0.45">
      <c r="B134" t="s">
        <v>477</v>
      </c>
      <c r="C134" s="43" t="s">
        <v>342</v>
      </c>
      <c r="D134" s="15" t="s">
        <v>478</v>
      </c>
      <c r="E134" s="36">
        <f>SUMPRODUCT($E131:E131,--($E$4:E$4&gt;=E$4-Lag+1))</f>
        <v>0.315</v>
      </c>
      <c r="F134" s="36">
        <f>SUMPRODUCT($E131:F131,--($E$4:F$4&gt;=F$4-Lag+1))</f>
        <v>0.64166666666666661</v>
      </c>
      <c r="G134" s="36">
        <f>SUMPRODUCT($E131:G131,--($E$4:G$4&gt;=G$4-Lag+1))</f>
        <v>0.96819722222222215</v>
      </c>
      <c r="H134" s="36">
        <f>SUMPRODUCT($E131:H131,--($E$4:H$4&gt;=H$4-Lag+1))</f>
        <v>0.97959325462962965</v>
      </c>
      <c r="I134" s="36">
        <f>SUMPRODUCT($E131:I131,--($E$4:I$4&gt;=I$4-Lag+1))</f>
        <v>0.99085633332561729</v>
      </c>
      <c r="J134" s="36">
        <f>SUMPRODUCT($E131:J131,--($E$4:J$4&gt;=J$4-Lag+1))</f>
        <v>1.0021241205479297</v>
      </c>
      <c r="K134" s="36">
        <f>SUMPRODUCT($E131:K131,--($E$4:K$4&gt;=K$4-Lag+1))</f>
        <v>1.0133949734007963</v>
      </c>
      <c r="L134" s="36">
        <f>SUMPRODUCT($E131:L131,--($E$4:L$4&gt;=L$4-Lag+1))</f>
        <v>1.0130006200151327</v>
      </c>
      <c r="M134" s="36">
        <f>SUMPRODUCT($E131:M131,--($E$4:M$4&gt;=M$4-Lag+1))</f>
        <v>1.0244089366704219</v>
      </c>
      <c r="N134" s="36">
        <f>SUMPRODUCT($E131:N131,--($E$4:N$4&gt;=N$4-Lag+1))</f>
        <v>1.0358156138156596</v>
      </c>
      <c r="O134" s="36">
        <f>SUMPRODUCT($E131:O131,--($E$4:O$4&gt;=O$4-Lag+1))</f>
        <v>1.0472207063441525</v>
      </c>
      <c r="P134" s="36">
        <f>SUMPRODUCT($E131:P131,--($E$4:P$4&gt;=P$4-Lag+1))</f>
        <v>1.0468214720036475</v>
      </c>
      <c r="Q134" s="44">
        <f>AVERAGE(E134:P134)</f>
        <v>0.92317499330348962</v>
      </c>
    </row>
    <row r="136" spans="2:17" x14ac:dyDescent="0.45">
      <c r="B136" s="4" t="s">
        <v>458</v>
      </c>
    </row>
    <row r="137" spans="2:17" x14ac:dyDescent="0.45">
      <c r="B137" t="s">
        <v>463</v>
      </c>
      <c r="C137" s="43" t="s">
        <v>342</v>
      </c>
      <c r="D137" s="15" t="s">
        <v>464</v>
      </c>
      <c r="E137" s="36">
        <f>Inputs!$K$61</f>
        <v>16</v>
      </c>
      <c r="F137" s="36">
        <f t="shared" ref="F137:P137" si="65">E142</f>
        <v>16</v>
      </c>
      <c r="G137" s="36">
        <f t="shared" si="65"/>
        <v>17</v>
      </c>
      <c r="H137" s="36">
        <f t="shared" si="65"/>
        <v>16.988333333333333</v>
      </c>
      <c r="I137" s="36">
        <f t="shared" si="65"/>
        <v>16.976802777777777</v>
      </c>
      <c r="J137" s="36">
        <f t="shared" si="65"/>
        <v>16.96540674537037</v>
      </c>
      <c r="K137" s="36">
        <f t="shared" si="65"/>
        <v>16.96581033334105</v>
      </c>
      <c r="L137" s="36">
        <f t="shared" si="65"/>
        <v>17.966073101674294</v>
      </c>
      <c r="M137" s="36">
        <f t="shared" si="65"/>
        <v>17.954531614562168</v>
      </c>
      <c r="N137" s="36">
        <f t="shared" si="65"/>
        <v>17.942991824421597</v>
      </c>
      <c r="O137" s="36">
        <f t="shared" si="65"/>
        <v>17.931591373692324</v>
      </c>
      <c r="P137" s="36">
        <f t="shared" si="65"/>
        <v>17.931993660518781</v>
      </c>
      <c r="Q137" s="44">
        <f>E137</f>
        <v>16</v>
      </c>
    </row>
    <row r="138" spans="2:17" x14ac:dyDescent="0.45">
      <c r="B138" t="s">
        <v>465</v>
      </c>
      <c r="C138" s="43" t="s">
        <v>342</v>
      </c>
      <c r="D138" s="15" t="s">
        <v>466</v>
      </c>
      <c r="E138" s="36">
        <f>Hires!E101</f>
        <v>0</v>
      </c>
      <c r="F138" s="36">
        <f>Hires!F101</f>
        <v>1</v>
      </c>
      <c r="G138" s="36">
        <f>Hires!G101</f>
        <v>0</v>
      </c>
      <c r="H138" s="36">
        <f>Hires!H101</f>
        <v>0</v>
      </c>
      <c r="I138" s="36">
        <f>Hires!I101</f>
        <v>0</v>
      </c>
      <c r="J138" s="36">
        <f>Hires!J101</f>
        <v>0</v>
      </c>
      <c r="K138" s="36">
        <f>Hires!K101</f>
        <v>1</v>
      </c>
      <c r="L138" s="36">
        <f>Hires!L101</f>
        <v>0</v>
      </c>
      <c r="M138" s="36">
        <f>Hires!M101</f>
        <v>0</v>
      </c>
      <c r="N138" s="36">
        <f>Hires!N101</f>
        <v>0</v>
      </c>
      <c r="O138" s="36">
        <f>Hires!O101</f>
        <v>0</v>
      </c>
      <c r="P138" s="36">
        <f>Hires!P101</f>
        <v>0</v>
      </c>
      <c r="Q138" s="44">
        <f>SUM(E138:P138)</f>
        <v>2</v>
      </c>
    </row>
    <row r="139" spans="2:17" x14ac:dyDescent="0.45">
      <c r="B139" t="s">
        <v>467</v>
      </c>
      <c r="C139" s="43" t="s">
        <v>342</v>
      </c>
      <c r="D139" s="15" t="s">
        <v>468</v>
      </c>
      <c r="E139" s="36">
        <f>IF(Lag=0,E141,Inputs!$K$61*mAttr)</f>
        <v>0.18666666666666668</v>
      </c>
      <c r="F139" s="36">
        <f>IF(Lag=0,F141,IF(Lag=1,E141,Inputs!$K$61*mAttr))</f>
        <v>0.18666666666666668</v>
      </c>
      <c r="G139" s="36">
        <f>IF(Lag=0,G141,IF(Lag=1,F141,IF(Lag=2,E141,Inputs!$K$61*mAttr)))</f>
        <v>0.18666666666666668</v>
      </c>
      <c r="H139" s="36">
        <f>IF(Lag=0,H141,IF(Lag=1,G141,IF(Lag=2,F141,IF(Lag=3,E141,Inputs!$K$61*mAttr))))</f>
        <v>0.18666666666666668</v>
      </c>
      <c r="I139" s="36">
        <f>IF(Lag=0,I141,IF(Lag=1,H141,IF(Lag=2,G141,IF(Lag=3,F141,IF(Lag=4,E141,Inputs!$K$61*mAttr)))))</f>
        <v>0.18666666666666668</v>
      </c>
      <c r="J139" s="36">
        <f>IF(Lag=0,J141,IF(Lag=1,I141,IF(Lag=2,H141,IF(Lag=3,G141,IF(Lag=4,F141,IF(Lag=5,E141,Inputs!$K$61*mAttr))))))</f>
        <v>0.19833333333333333</v>
      </c>
      <c r="K139" s="36">
        <f>IF(Lag=0,K141,IF(Lag=1,J141,IF(Lag=2,I141,IF(Lag=3,H141,IF(Lag=4,G141,IF(Lag=5,F141,IF(Lag=6,E141,Inputs!$K$61*mAttr)))))))</f>
        <v>0.19819722222222222</v>
      </c>
      <c r="L139" s="36">
        <f>IF(Lag=0,L141,IF(Lag=1,K141,IF(Lag=2,J141,IF(Lag=3,I141,IF(Lag=4,H141,IF(Lag=5,G141,IF(Lag=6,F141,IF(Lag=7,E141,Inputs!$K$61*mAttr))))))))</f>
        <v>0.19806269907407409</v>
      </c>
      <c r="M139" s="36">
        <f>IF(Lag=0,M141,IF(Lag=1,L141,IF(Lag=2,K141,IF(Lag=3,J141,IF(Lag=4,I141,IF(Lag=5,H141,IF(Lag=6,G141,IF(Lag=7,F141,IF(Lag=8,E141,Inputs!$K$61*mAttr)))))))))</f>
        <v>0.19792974536265431</v>
      </c>
      <c r="N139" s="36">
        <f>IF(Lag=0,N141,IF(Lag=1,M141,IF(Lag=2,L141,IF(Lag=3,K141,IF(Lag=4,J141,IF(Lag=5,I141,IF(Lag=6,H141,IF(Lag=7,G141,IF(Lag=8,F141,IF(Lag=9,E141,Inputs!$K$61*mAttr))))))))))</f>
        <v>0.19793445388897893</v>
      </c>
      <c r="O139" s="36">
        <f>IF(Lag=0,O141,IF(Lag=1,N141,IF(Lag=2,M141,IF(Lag=3,L141,IF(Lag=4,K141,IF(Lag=5,J141,IF(Lag=6,I141,IF(Lag=7,H141,IF(Lag=8,G141,IF(Lag=9,F141,IF(Lag=10,E141,Inputs!$K$61*mAttr)))))))))))</f>
        <v>0.20960418618620011</v>
      </c>
      <c r="P139" s="36">
        <f>IF(Lag=0,P141,IF(Lag=1,O141,IF(Lag=2,N141,IF(Lag=3,M141,IF(Lag=4,L141,IF(Lag=5,K141,IF(Lag=6,J141,IF(Lag=7,I141,IF(Lag=8,H141,IF(Lag=9,G141,IF(Lag=10,F141,IF(Lag=11,E141,Inputs!$K$61*mAttr))))))))))))</f>
        <v>0.20946953550322531</v>
      </c>
      <c r="Q139" s="44">
        <f>SUM(E139:P139)</f>
        <v>2.3428645089040212</v>
      </c>
    </row>
    <row r="140" spans="2:17" x14ac:dyDescent="0.45">
      <c r="B140" t="s">
        <v>469</v>
      </c>
      <c r="C140" s="43" t="s">
        <v>342</v>
      </c>
      <c r="D140" s="15" t="s">
        <v>470</v>
      </c>
      <c r="E140" s="36">
        <f t="shared" ref="E140:P140" si="66">E138+E139</f>
        <v>0.18666666666666668</v>
      </c>
      <c r="F140" s="36">
        <f t="shared" si="66"/>
        <v>1.1866666666666668</v>
      </c>
      <c r="G140" s="36">
        <f t="shared" si="66"/>
        <v>0.18666666666666668</v>
      </c>
      <c r="H140" s="36">
        <f t="shared" si="66"/>
        <v>0.18666666666666668</v>
      </c>
      <c r="I140" s="36">
        <f t="shared" si="66"/>
        <v>0.18666666666666668</v>
      </c>
      <c r="J140" s="36">
        <f t="shared" si="66"/>
        <v>0.19833333333333333</v>
      </c>
      <c r="K140" s="36">
        <f t="shared" si="66"/>
        <v>1.1981972222222221</v>
      </c>
      <c r="L140" s="36">
        <f t="shared" si="66"/>
        <v>0.19806269907407409</v>
      </c>
      <c r="M140" s="36">
        <f t="shared" si="66"/>
        <v>0.19792974536265431</v>
      </c>
      <c r="N140" s="36">
        <f t="shared" si="66"/>
        <v>0.19793445388897893</v>
      </c>
      <c r="O140" s="36">
        <f t="shared" si="66"/>
        <v>0.20960418618620011</v>
      </c>
      <c r="P140" s="36">
        <f t="shared" si="66"/>
        <v>0.20946953550322531</v>
      </c>
      <c r="Q140" s="44">
        <f>SUM(E140:P140)</f>
        <v>4.3428645089040216</v>
      </c>
    </row>
    <row r="141" spans="2:17" x14ac:dyDescent="0.45">
      <c r="B141" t="s">
        <v>471</v>
      </c>
      <c r="C141" s="43" t="s">
        <v>342</v>
      </c>
      <c r="D141" s="15" t="s">
        <v>472</v>
      </c>
      <c r="E141" s="36">
        <f t="shared" ref="E141:P141" si="67">E137*mAttr</f>
        <v>0.18666666666666668</v>
      </c>
      <c r="F141" s="36">
        <f t="shared" si="67"/>
        <v>0.18666666666666668</v>
      </c>
      <c r="G141" s="36">
        <f t="shared" si="67"/>
        <v>0.19833333333333333</v>
      </c>
      <c r="H141" s="36">
        <f t="shared" si="67"/>
        <v>0.19819722222222222</v>
      </c>
      <c r="I141" s="36">
        <f t="shared" si="67"/>
        <v>0.19806269907407409</v>
      </c>
      <c r="J141" s="36">
        <f t="shared" si="67"/>
        <v>0.19792974536265431</v>
      </c>
      <c r="K141" s="36">
        <f t="shared" si="67"/>
        <v>0.19793445388897893</v>
      </c>
      <c r="L141" s="36">
        <f t="shared" si="67"/>
        <v>0.20960418618620011</v>
      </c>
      <c r="M141" s="36">
        <f t="shared" si="67"/>
        <v>0.20946953550322531</v>
      </c>
      <c r="N141" s="36">
        <f t="shared" si="67"/>
        <v>0.20933490461825197</v>
      </c>
      <c r="O141" s="36">
        <f t="shared" si="67"/>
        <v>0.20920189935974379</v>
      </c>
      <c r="P141" s="36">
        <f t="shared" si="67"/>
        <v>0.20920659270605246</v>
      </c>
      <c r="Q141" s="44">
        <f>SUM(E141:P141)</f>
        <v>2.41060790558807</v>
      </c>
    </row>
    <row r="142" spans="2:17" x14ac:dyDescent="0.45">
      <c r="B142" s="4" t="s">
        <v>473</v>
      </c>
      <c r="C142" s="43" t="s">
        <v>342</v>
      </c>
      <c r="D142" s="15" t="s">
        <v>474</v>
      </c>
      <c r="E142" s="44">
        <f t="shared" ref="E142:P142" si="68">E137+E140-E141</f>
        <v>16</v>
      </c>
      <c r="F142" s="44">
        <f t="shared" si="68"/>
        <v>17</v>
      </c>
      <c r="G142" s="44">
        <f t="shared" si="68"/>
        <v>16.988333333333333</v>
      </c>
      <c r="H142" s="44">
        <f t="shared" si="68"/>
        <v>16.976802777777777</v>
      </c>
      <c r="I142" s="44">
        <f t="shared" si="68"/>
        <v>16.96540674537037</v>
      </c>
      <c r="J142" s="44">
        <f t="shared" si="68"/>
        <v>16.96581033334105</v>
      </c>
      <c r="K142" s="44">
        <f t="shared" si="68"/>
        <v>17.966073101674294</v>
      </c>
      <c r="L142" s="44">
        <f t="shared" si="68"/>
        <v>17.954531614562168</v>
      </c>
      <c r="M142" s="44">
        <f t="shared" si="68"/>
        <v>17.942991824421597</v>
      </c>
      <c r="N142" s="44">
        <f t="shared" si="68"/>
        <v>17.931591373692324</v>
      </c>
      <c r="O142" s="44">
        <f t="shared" si="68"/>
        <v>17.931993660518781</v>
      </c>
      <c r="P142" s="44">
        <f t="shared" si="68"/>
        <v>17.932256603315953</v>
      </c>
      <c r="Q142" s="44">
        <f>P142</f>
        <v>17.932256603315953</v>
      </c>
    </row>
    <row r="143" spans="2:17" x14ac:dyDescent="0.45">
      <c r="B143" t="s">
        <v>475</v>
      </c>
      <c r="C143" s="43" t="s">
        <v>342</v>
      </c>
      <c r="D143" s="15" t="s">
        <v>476</v>
      </c>
      <c r="E143" s="36">
        <f t="shared" ref="E143:P143" si="69">E137+E140</f>
        <v>16.186666666666667</v>
      </c>
      <c r="F143" s="36">
        <f t="shared" si="69"/>
        <v>17.186666666666667</v>
      </c>
      <c r="G143" s="36">
        <f t="shared" si="69"/>
        <v>17.186666666666667</v>
      </c>
      <c r="H143" s="36">
        <f t="shared" si="69"/>
        <v>17.175000000000001</v>
      </c>
      <c r="I143" s="36">
        <f t="shared" si="69"/>
        <v>17.163469444444445</v>
      </c>
      <c r="J143" s="36">
        <f t="shared" si="69"/>
        <v>17.163740078703704</v>
      </c>
      <c r="K143" s="36">
        <f t="shared" si="69"/>
        <v>18.164007555563273</v>
      </c>
      <c r="L143" s="36">
        <f t="shared" si="69"/>
        <v>18.164135800748369</v>
      </c>
      <c r="M143" s="36">
        <f t="shared" si="69"/>
        <v>18.152461359924821</v>
      </c>
      <c r="N143" s="36">
        <f t="shared" si="69"/>
        <v>18.140926278310577</v>
      </c>
      <c r="O143" s="36">
        <f t="shared" si="69"/>
        <v>18.141195559878526</v>
      </c>
      <c r="P143" s="36">
        <f t="shared" si="69"/>
        <v>18.141463196022006</v>
      </c>
      <c r="Q143" s="44">
        <f>AVERAGE(E143:P143)</f>
        <v>17.580533272799645</v>
      </c>
    </row>
    <row r="144" spans="2:17" x14ac:dyDescent="0.45">
      <c r="B144" t="s">
        <v>477</v>
      </c>
      <c r="C144" s="43" t="s">
        <v>342</v>
      </c>
      <c r="D144" s="15" t="s">
        <v>478</v>
      </c>
      <c r="E144" s="36">
        <f>SUMPRODUCT($E141:E141,--($E$4:E$4&gt;=E$4-Lag+1))</f>
        <v>0.18666666666666668</v>
      </c>
      <c r="F144" s="36">
        <f>SUMPRODUCT($E141:F141,--($E$4:F$4&gt;=F$4-Lag+1))</f>
        <v>0.37333333333333335</v>
      </c>
      <c r="G144" s="36">
        <f>SUMPRODUCT($E141:G141,--($E$4:G$4&gt;=G$4-Lag+1))</f>
        <v>0.57166666666666666</v>
      </c>
      <c r="H144" s="36">
        <f>SUMPRODUCT($E141:H141,--($E$4:H$4&gt;=H$4-Lag+1))</f>
        <v>0.58319722222222226</v>
      </c>
      <c r="I144" s="36">
        <f>SUMPRODUCT($E141:I141,--($E$4:I$4&gt;=I$4-Lag+1))</f>
        <v>0.59459325462962964</v>
      </c>
      <c r="J144" s="36">
        <f>SUMPRODUCT($E141:J141,--($E$4:J$4&gt;=J$4-Lag+1))</f>
        <v>0.59418966665895057</v>
      </c>
      <c r="K144" s="36">
        <f>SUMPRODUCT($E141:K141,--($E$4:K$4&gt;=K$4-Lag+1))</f>
        <v>0.59392689832570733</v>
      </c>
      <c r="L144" s="36">
        <f>SUMPRODUCT($E141:L141,--($E$4:L$4&gt;=L$4-Lag+1))</f>
        <v>0.60546838543783332</v>
      </c>
      <c r="M144" s="36">
        <f>SUMPRODUCT($E141:M141,--($E$4:M$4&gt;=M$4-Lag+1))</f>
        <v>0.61700817557840437</v>
      </c>
      <c r="N144" s="36">
        <f>SUMPRODUCT($E141:N141,--($E$4:N$4&gt;=N$4-Lag+1))</f>
        <v>0.62840862630767735</v>
      </c>
      <c r="O144" s="36">
        <f>SUMPRODUCT($E141:O141,--($E$4:O$4&gt;=O$4-Lag+1))</f>
        <v>0.62800633948122109</v>
      </c>
      <c r="P144" s="36">
        <f>SUMPRODUCT($E141:P141,--($E$4:P$4&gt;=P$4-Lag+1))</f>
        <v>0.62774339668404822</v>
      </c>
      <c r="Q144" s="44">
        <f>AVERAGE(E144:P144)</f>
        <v>0.55035071933269675</v>
      </c>
    </row>
    <row r="146" spans="2:17" x14ac:dyDescent="0.45">
      <c r="B146" s="4" t="s">
        <v>459</v>
      </c>
    </row>
    <row r="147" spans="2:17" x14ac:dyDescent="0.45">
      <c r="B147" t="s">
        <v>463</v>
      </c>
      <c r="C147" s="43" t="s">
        <v>342</v>
      </c>
      <c r="D147" s="15" t="s">
        <v>464</v>
      </c>
      <c r="E147" s="36">
        <f>Inputs!$K$62</f>
        <v>8</v>
      </c>
      <c r="F147" s="36">
        <f t="shared" ref="F147:P147" si="70">E152</f>
        <v>8</v>
      </c>
      <c r="G147" s="36">
        <f t="shared" si="70"/>
        <v>8</v>
      </c>
      <c r="H147" s="36">
        <f t="shared" si="70"/>
        <v>8</v>
      </c>
      <c r="I147" s="36">
        <f t="shared" si="70"/>
        <v>8</v>
      </c>
      <c r="J147" s="36">
        <f t="shared" si="70"/>
        <v>8</v>
      </c>
      <c r="K147" s="36">
        <f t="shared" si="70"/>
        <v>8</v>
      </c>
      <c r="L147" s="36">
        <f t="shared" si="70"/>
        <v>8</v>
      </c>
      <c r="M147" s="36">
        <f t="shared" si="70"/>
        <v>8</v>
      </c>
      <c r="N147" s="36">
        <f t="shared" si="70"/>
        <v>8</v>
      </c>
      <c r="O147" s="36">
        <f t="shared" si="70"/>
        <v>8</v>
      </c>
      <c r="P147" s="36">
        <f t="shared" si="70"/>
        <v>8</v>
      </c>
      <c r="Q147" s="44">
        <f>E147</f>
        <v>8</v>
      </c>
    </row>
    <row r="148" spans="2:17" x14ac:dyDescent="0.45">
      <c r="B148" t="s">
        <v>465</v>
      </c>
      <c r="C148" s="43" t="s">
        <v>342</v>
      </c>
      <c r="D148" s="15" t="s">
        <v>466</v>
      </c>
      <c r="E148" s="36">
        <f>Hires!E108</f>
        <v>0</v>
      </c>
      <c r="F148" s="36">
        <f>Hires!F108</f>
        <v>0</v>
      </c>
      <c r="G148" s="36">
        <f>Hires!G108</f>
        <v>0</v>
      </c>
      <c r="H148" s="36">
        <f>Hires!H108</f>
        <v>0</v>
      </c>
      <c r="I148" s="36">
        <f>Hires!I108</f>
        <v>0</v>
      </c>
      <c r="J148" s="36">
        <f>Hires!J108</f>
        <v>0</v>
      </c>
      <c r="K148" s="36">
        <f>Hires!K108</f>
        <v>0</v>
      </c>
      <c r="L148" s="36">
        <f>Hires!L108</f>
        <v>0</v>
      </c>
      <c r="M148" s="36">
        <f>Hires!M108</f>
        <v>0</v>
      </c>
      <c r="N148" s="36">
        <f>Hires!N108</f>
        <v>0</v>
      </c>
      <c r="O148" s="36">
        <f>Hires!O108</f>
        <v>0</v>
      </c>
      <c r="P148" s="36">
        <f>Hires!P108</f>
        <v>0</v>
      </c>
      <c r="Q148" s="44">
        <f>SUM(E148:P148)</f>
        <v>0</v>
      </c>
    </row>
    <row r="149" spans="2:17" x14ac:dyDescent="0.45">
      <c r="B149" t="s">
        <v>467</v>
      </c>
      <c r="C149" s="43" t="s">
        <v>342</v>
      </c>
      <c r="D149" s="15" t="s">
        <v>468</v>
      </c>
      <c r="E149" s="36">
        <f>IF(Lag=0,E151,Inputs!$K$62*mAttr)</f>
        <v>9.3333333333333338E-2</v>
      </c>
      <c r="F149" s="36">
        <f>IF(Lag=0,F151,IF(Lag=1,E151,Inputs!$K$62*mAttr))</f>
        <v>9.3333333333333338E-2</v>
      </c>
      <c r="G149" s="36">
        <f>IF(Lag=0,G151,IF(Lag=1,F151,IF(Lag=2,E151,Inputs!$K$62*mAttr)))</f>
        <v>9.3333333333333338E-2</v>
      </c>
      <c r="H149" s="36">
        <f>IF(Lag=0,H151,IF(Lag=1,G151,IF(Lag=2,F151,IF(Lag=3,E151,Inputs!$K$62*mAttr))))</f>
        <v>9.3333333333333338E-2</v>
      </c>
      <c r="I149" s="36">
        <f>IF(Lag=0,I151,IF(Lag=1,H151,IF(Lag=2,G151,IF(Lag=3,F151,IF(Lag=4,E151,Inputs!$K$62*mAttr)))))</f>
        <v>9.3333333333333338E-2</v>
      </c>
      <c r="J149" s="36">
        <f>IF(Lag=0,J151,IF(Lag=1,I151,IF(Lag=2,H151,IF(Lag=3,G151,IF(Lag=4,F151,IF(Lag=5,E151,Inputs!$K$62*mAttr))))))</f>
        <v>9.3333333333333338E-2</v>
      </c>
      <c r="K149" s="36">
        <f>IF(Lag=0,K151,IF(Lag=1,J151,IF(Lag=2,I151,IF(Lag=3,H151,IF(Lag=4,G151,IF(Lag=5,F151,IF(Lag=6,E151,Inputs!$K$62*mAttr)))))))</f>
        <v>9.3333333333333338E-2</v>
      </c>
      <c r="L149" s="36">
        <f>IF(Lag=0,L151,IF(Lag=1,K151,IF(Lag=2,J151,IF(Lag=3,I151,IF(Lag=4,H151,IF(Lag=5,G151,IF(Lag=6,F151,IF(Lag=7,E151,Inputs!$K$62*mAttr))))))))</f>
        <v>9.3333333333333338E-2</v>
      </c>
      <c r="M149" s="36">
        <f>IF(Lag=0,M151,IF(Lag=1,L151,IF(Lag=2,K151,IF(Lag=3,J151,IF(Lag=4,I151,IF(Lag=5,H151,IF(Lag=6,G151,IF(Lag=7,F151,IF(Lag=8,E151,Inputs!$K$62*mAttr)))))))))</f>
        <v>9.3333333333333338E-2</v>
      </c>
      <c r="N149" s="36">
        <f>IF(Lag=0,N151,IF(Lag=1,M151,IF(Lag=2,L151,IF(Lag=3,K151,IF(Lag=4,J151,IF(Lag=5,I151,IF(Lag=6,H151,IF(Lag=7,G151,IF(Lag=8,F151,IF(Lag=9,E151,Inputs!$K$62*mAttr))))))))))</f>
        <v>9.3333333333333338E-2</v>
      </c>
      <c r="O149" s="36">
        <f>IF(Lag=0,O151,IF(Lag=1,N151,IF(Lag=2,M151,IF(Lag=3,L151,IF(Lag=4,K151,IF(Lag=5,J151,IF(Lag=6,I151,IF(Lag=7,H151,IF(Lag=8,G151,IF(Lag=9,F151,IF(Lag=10,E151,Inputs!$K$62*mAttr)))))))))))</f>
        <v>9.3333333333333338E-2</v>
      </c>
      <c r="P149" s="36">
        <f>IF(Lag=0,P151,IF(Lag=1,O151,IF(Lag=2,N151,IF(Lag=3,M151,IF(Lag=4,L151,IF(Lag=5,K151,IF(Lag=6,J151,IF(Lag=7,I151,IF(Lag=8,H151,IF(Lag=9,G151,IF(Lag=10,F151,IF(Lag=11,E151,Inputs!$K$62*mAttr))))))))))))</f>
        <v>9.3333333333333338E-2</v>
      </c>
      <c r="Q149" s="44">
        <f>SUM(E149:P149)</f>
        <v>1.1200000000000001</v>
      </c>
    </row>
    <row r="150" spans="2:17" x14ac:dyDescent="0.45">
      <c r="B150" t="s">
        <v>469</v>
      </c>
      <c r="C150" s="43" t="s">
        <v>342</v>
      </c>
      <c r="D150" s="15" t="s">
        <v>470</v>
      </c>
      <c r="E150" s="36">
        <f t="shared" ref="E150:P150" si="71">E148+E149</f>
        <v>9.3333333333333338E-2</v>
      </c>
      <c r="F150" s="36">
        <f t="shared" si="71"/>
        <v>9.3333333333333338E-2</v>
      </c>
      <c r="G150" s="36">
        <f t="shared" si="71"/>
        <v>9.3333333333333338E-2</v>
      </c>
      <c r="H150" s="36">
        <f t="shared" si="71"/>
        <v>9.3333333333333338E-2</v>
      </c>
      <c r="I150" s="36">
        <f t="shared" si="71"/>
        <v>9.3333333333333338E-2</v>
      </c>
      <c r="J150" s="36">
        <f t="shared" si="71"/>
        <v>9.3333333333333338E-2</v>
      </c>
      <c r="K150" s="36">
        <f t="shared" si="71"/>
        <v>9.3333333333333338E-2</v>
      </c>
      <c r="L150" s="36">
        <f t="shared" si="71"/>
        <v>9.3333333333333338E-2</v>
      </c>
      <c r="M150" s="36">
        <f t="shared" si="71"/>
        <v>9.3333333333333338E-2</v>
      </c>
      <c r="N150" s="36">
        <f t="shared" si="71"/>
        <v>9.3333333333333338E-2</v>
      </c>
      <c r="O150" s="36">
        <f t="shared" si="71"/>
        <v>9.3333333333333338E-2</v>
      </c>
      <c r="P150" s="36">
        <f t="shared" si="71"/>
        <v>9.3333333333333338E-2</v>
      </c>
      <c r="Q150" s="44">
        <f>SUM(E150:P150)</f>
        <v>1.1200000000000001</v>
      </c>
    </row>
    <row r="151" spans="2:17" x14ac:dyDescent="0.45">
      <c r="B151" t="s">
        <v>471</v>
      </c>
      <c r="C151" s="43" t="s">
        <v>342</v>
      </c>
      <c r="D151" s="15" t="s">
        <v>472</v>
      </c>
      <c r="E151" s="36">
        <f t="shared" ref="E151:P151" si="72">E147*mAttr</f>
        <v>9.3333333333333338E-2</v>
      </c>
      <c r="F151" s="36">
        <f t="shared" si="72"/>
        <v>9.3333333333333338E-2</v>
      </c>
      <c r="G151" s="36">
        <f t="shared" si="72"/>
        <v>9.3333333333333338E-2</v>
      </c>
      <c r="H151" s="36">
        <f t="shared" si="72"/>
        <v>9.3333333333333338E-2</v>
      </c>
      <c r="I151" s="36">
        <f t="shared" si="72"/>
        <v>9.3333333333333338E-2</v>
      </c>
      <c r="J151" s="36">
        <f t="shared" si="72"/>
        <v>9.3333333333333338E-2</v>
      </c>
      <c r="K151" s="36">
        <f t="shared" si="72"/>
        <v>9.3333333333333338E-2</v>
      </c>
      <c r="L151" s="36">
        <f t="shared" si="72"/>
        <v>9.3333333333333338E-2</v>
      </c>
      <c r="M151" s="36">
        <f t="shared" si="72"/>
        <v>9.3333333333333338E-2</v>
      </c>
      <c r="N151" s="36">
        <f t="shared" si="72"/>
        <v>9.3333333333333338E-2</v>
      </c>
      <c r="O151" s="36">
        <f t="shared" si="72"/>
        <v>9.3333333333333338E-2</v>
      </c>
      <c r="P151" s="36">
        <f t="shared" si="72"/>
        <v>9.3333333333333338E-2</v>
      </c>
      <c r="Q151" s="44">
        <f>SUM(E151:P151)</f>
        <v>1.1200000000000001</v>
      </c>
    </row>
    <row r="152" spans="2:17" x14ac:dyDescent="0.45">
      <c r="B152" s="4" t="s">
        <v>473</v>
      </c>
      <c r="C152" s="43" t="s">
        <v>342</v>
      </c>
      <c r="D152" s="15" t="s">
        <v>474</v>
      </c>
      <c r="E152" s="44">
        <f t="shared" ref="E152:P152" si="73">E147+E150-E151</f>
        <v>8</v>
      </c>
      <c r="F152" s="44">
        <f t="shared" si="73"/>
        <v>8</v>
      </c>
      <c r="G152" s="44">
        <f t="shared" si="73"/>
        <v>8</v>
      </c>
      <c r="H152" s="44">
        <f t="shared" si="73"/>
        <v>8</v>
      </c>
      <c r="I152" s="44">
        <f t="shared" si="73"/>
        <v>8</v>
      </c>
      <c r="J152" s="44">
        <f t="shared" si="73"/>
        <v>8</v>
      </c>
      <c r="K152" s="44">
        <f t="shared" si="73"/>
        <v>8</v>
      </c>
      <c r="L152" s="44">
        <f t="shared" si="73"/>
        <v>8</v>
      </c>
      <c r="M152" s="44">
        <f t="shared" si="73"/>
        <v>8</v>
      </c>
      <c r="N152" s="44">
        <f t="shared" si="73"/>
        <v>8</v>
      </c>
      <c r="O152" s="44">
        <f t="shared" si="73"/>
        <v>8</v>
      </c>
      <c r="P152" s="44">
        <f t="shared" si="73"/>
        <v>8</v>
      </c>
      <c r="Q152" s="44">
        <f>P152</f>
        <v>8</v>
      </c>
    </row>
    <row r="153" spans="2:17" x14ac:dyDescent="0.45">
      <c r="B153" t="s">
        <v>475</v>
      </c>
      <c r="C153" s="43" t="s">
        <v>342</v>
      </c>
      <c r="D153" s="15" t="s">
        <v>476</v>
      </c>
      <c r="E153" s="36">
        <f t="shared" ref="E153:P153" si="74">E147+E150</f>
        <v>8.0933333333333337</v>
      </c>
      <c r="F153" s="36">
        <f t="shared" si="74"/>
        <v>8.0933333333333337</v>
      </c>
      <c r="G153" s="36">
        <f t="shared" si="74"/>
        <v>8.0933333333333337</v>
      </c>
      <c r="H153" s="36">
        <f t="shared" si="74"/>
        <v>8.0933333333333337</v>
      </c>
      <c r="I153" s="36">
        <f t="shared" si="74"/>
        <v>8.0933333333333337</v>
      </c>
      <c r="J153" s="36">
        <f t="shared" si="74"/>
        <v>8.0933333333333337</v>
      </c>
      <c r="K153" s="36">
        <f t="shared" si="74"/>
        <v>8.0933333333333337</v>
      </c>
      <c r="L153" s="36">
        <f t="shared" si="74"/>
        <v>8.0933333333333337</v>
      </c>
      <c r="M153" s="36">
        <f t="shared" si="74"/>
        <v>8.0933333333333337</v>
      </c>
      <c r="N153" s="36">
        <f t="shared" si="74"/>
        <v>8.0933333333333337</v>
      </c>
      <c r="O153" s="36">
        <f t="shared" si="74"/>
        <v>8.0933333333333337</v>
      </c>
      <c r="P153" s="36">
        <f t="shared" si="74"/>
        <v>8.0933333333333337</v>
      </c>
      <c r="Q153" s="44">
        <f>AVERAGE(E153:P153)</f>
        <v>8.0933333333333337</v>
      </c>
    </row>
    <row r="154" spans="2:17" x14ac:dyDescent="0.45">
      <c r="B154" t="s">
        <v>477</v>
      </c>
      <c r="C154" s="43" t="s">
        <v>342</v>
      </c>
      <c r="D154" s="15" t="s">
        <v>478</v>
      </c>
      <c r="E154" s="36">
        <f>SUMPRODUCT($E151:E151,--($E$4:E$4&gt;=E$4-Lag+1))</f>
        <v>9.3333333333333338E-2</v>
      </c>
      <c r="F154" s="36">
        <f>SUMPRODUCT($E151:F151,--($E$4:F$4&gt;=F$4-Lag+1))</f>
        <v>0.18666666666666668</v>
      </c>
      <c r="G154" s="36">
        <f>SUMPRODUCT($E151:G151,--($E$4:G$4&gt;=G$4-Lag+1))</f>
        <v>0.28000000000000003</v>
      </c>
      <c r="H154" s="36">
        <f>SUMPRODUCT($E151:H151,--($E$4:H$4&gt;=H$4-Lag+1))</f>
        <v>0.28000000000000003</v>
      </c>
      <c r="I154" s="36">
        <f>SUMPRODUCT($E151:I151,--($E$4:I$4&gt;=I$4-Lag+1))</f>
        <v>0.28000000000000003</v>
      </c>
      <c r="J154" s="36">
        <f>SUMPRODUCT($E151:J151,--($E$4:J$4&gt;=J$4-Lag+1))</f>
        <v>0.28000000000000003</v>
      </c>
      <c r="K154" s="36">
        <f>SUMPRODUCT($E151:K151,--($E$4:K$4&gt;=K$4-Lag+1))</f>
        <v>0.28000000000000003</v>
      </c>
      <c r="L154" s="36">
        <f>SUMPRODUCT($E151:L151,--($E$4:L$4&gt;=L$4-Lag+1))</f>
        <v>0.28000000000000003</v>
      </c>
      <c r="M154" s="36">
        <f>SUMPRODUCT($E151:M151,--($E$4:M$4&gt;=M$4-Lag+1))</f>
        <v>0.28000000000000003</v>
      </c>
      <c r="N154" s="36">
        <f>SUMPRODUCT($E151:N151,--($E$4:N$4&gt;=N$4-Lag+1))</f>
        <v>0.28000000000000003</v>
      </c>
      <c r="O154" s="36">
        <f>SUMPRODUCT($E151:O151,--($E$4:O$4&gt;=O$4-Lag+1))</f>
        <v>0.28000000000000003</v>
      </c>
      <c r="P154" s="36">
        <f>SUMPRODUCT($E151:P151,--($E$4:P$4&gt;=P$4-Lag+1))</f>
        <v>0.28000000000000003</v>
      </c>
      <c r="Q154" s="44">
        <f>AVERAGE(E154:P154)</f>
        <v>0.25666666666666677</v>
      </c>
    </row>
    <row r="156" spans="2:17" ht="15.75" x14ac:dyDescent="0.5">
      <c r="B156" s="45" t="s">
        <v>479</v>
      </c>
    </row>
    <row r="157" spans="2:17" x14ac:dyDescent="0.45">
      <c r="B157" s="4" t="s">
        <v>480</v>
      </c>
    </row>
    <row r="158" spans="2:17" x14ac:dyDescent="0.45">
      <c r="B158" t="s">
        <v>481</v>
      </c>
      <c r="C158" s="43" t="s">
        <v>303</v>
      </c>
      <c r="E158" s="36">
        <f t="shared" ref="E158:P158" si="75">E12+E22+E32</f>
        <v>93</v>
      </c>
      <c r="F158" s="36">
        <f t="shared" si="75"/>
        <v>96.965000000000003</v>
      </c>
      <c r="G158" s="36">
        <f t="shared" si="75"/>
        <v>99.883741666666666</v>
      </c>
      <c r="H158" s="36">
        <f t="shared" si="75"/>
        <v>101.76843134722222</v>
      </c>
      <c r="I158" s="36">
        <f t="shared" si="75"/>
        <v>103.66613298150465</v>
      </c>
      <c r="J158" s="36">
        <f t="shared" si="75"/>
        <v>105.58795309672043</v>
      </c>
      <c r="K158" s="36">
        <f t="shared" si="75"/>
        <v>108.52140396336979</v>
      </c>
      <c r="L158" s="36">
        <f t="shared" si="75"/>
        <v>110.44261928284806</v>
      </c>
      <c r="M158" s="36">
        <f t="shared" si="75"/>
        <v>111.36356027599905</v>
      </c>
      <c r="N158" s="36">
        <f t="shared" si="75"/>
        <v>112.2961781922408</v>
      </c>
      <c r="O158" s="36">
        <f t="shared" si="75"/>
        <v>113.25213915957063</v>
      </c>
      <c r="P158" s="36">
        <f t="shared" si="75"/>
        <v>113.21936142767552</v>
      </c>
      <c r="Q158" s="44">
        <f>P158</f>
        <v>113.21936142767552</v>
      </c>
    </row>
    <row r="159" spans="2:17" x14ac:dyDescent="0.45">
      <c r="B159" t="s">
        <v>475</v>
      </c>
      <c r="C159" s="43" t="s">
        <v>303</v>
      </c>
      <c r="E159" s="36">
        <f t="shared" ref="E159:P159" si="76">E13+E23+E33</f>
        <v>94.05</v>
      </c>
      <c r="F159" s="36">
        <f t="shared" si="76"/>
        <v>98.05</v>
      </c>
      <c r="G159" s="36">
        <f t="shared" si="76"/>
        <v>101.01499999999999</v>
      </c>
      <c r="H159" s="36">
        <f t="shared" si="76"/>
        <v>102.93374166666666</v>
      </c>
      <c r="I159" s="36">
        <f t="shared" si="76"/>
        <v>104.85343134722223</v>
      </c>
      <c r="J159" s="36">
        <f t="shared" si="76"/>
        <v>106.79739131483797</v>
      </c>
      <c r="K159" s="36">
        <f t="shared" si="76"/>
        <v>109.75326341616486</v>
      </c>
      <c r="L159" s="36">
        <f t="shared" si="76"/>
        <v>111.70870232908737</v>
      </c>
      <c r="M159" s="36">
        <f t="shared" si="76"/>
        <v>112.65205750096563</v>
      </c>
      <c r="N159" s="36">
        <f t="shared" si="76"/>
        <v>113.59541972879413</v>
      </c>
      <c r="O159" s="36">
        <f t="shared" si="76"/>
        <v>114.56226123848012</v>
      </c>
      <c r="P159" s="36">
        <f t="shared" si="76"/>
        <v>114.54063638453721</v>
      </c>
      <c r="Q159" s="44">
        <f>AVERAGE(E159:P159)</f>
        <v>107.04265874389633</v>
      </c>
    </row>
    <row r="160" spans="2:17" x14ac:dyDescent="0.45">
      <c r="B160" t="s">
        <v>436</v>
      </c>
      <c r="C160" s="43" t="s">
        <v>303</v>
      </c>
      <c r="E160" s="36">
        <f t="shared" ref="E160:P160" si="77">E10+E20+E30</f>
        <v>4.05</v>
      </c>
      <c r="F160" s="36">
        <f t="shared" si="77"/>
        <v>5.0500000000000007</v>
      </c>
      <c r="G160" s="36">
        <f t="shared" si="77"/>
        <v>4.05</v>
      </c>
      <c r="H160" s="36">
        <f t="shared" si="77"/>
        <v>3.0500000000000003</v>
      </c>
      <c r="I160" s="36">
        <f t="shared" si="77"/>
        <v>3.0850000000000004</v>
      </c>
      <c r="J160" s="36">
        <f t="shared" si="77"/>
        <v>3.1312583333333337</v>
      </c>
      <c r="K160" s="36">
        <f t="shared" si="77"/>
        <v>4.1653103194444441</v>
      </c>
      <c r="L160" s="36">
        <f t="shared" si="77"/>
        <v>3.1872983657175928</v>
      </c>
      <c r="M160" s="36">
        <f t="shared" si="77"/>
        <v>2.2094382181175543</v>
      </c>
      <c r="N160" s="36">
        <f t="shared" si="77"/>
        <v>2.2318594527950717</v>
      </c>
      <c r="O160" s="36">
        <f t="shared" si="77"/>
        <v>2.2660830462393142</v>
      </c>
      <c r="P160" s="36">
        <f t="shared" si="77"/>
        <v>1.2884972249665607</v>
      </c>
      <c r="Q160" s="44">
        <f>SUM(E160:P160)</f>
        <v>37.764744960613882</v>
      </c>
    </row>
    <row r="161" spans="2:17" x14ac:dyDescent="0.45">
      <c r="B161" t="s">
        <v>465</v>
      </c>
      <c r="C161" s="43" t="s">
        <v>303</v>
      </c>
      <c r="E161" s="36">
        <f t="shared" ref="E161:P161" si="78">E8+E18+E28</f>
        <v>3</v>
      </c>
      <c r="F161" s="36">
        <f t="shared" si="78"/>
        <v>4</v>
      </c>
      <c r="G161" s="36">
        <f t="shared" si="78"/>
        <v>3</v>
      </c>
      <c r="H161" s="36">
        <f t="shared" si="78"/>
        <v>2</v>
      </c>
      <c r="I161" s="36">
        <f t="shared" si="78"/>
        <v>2</v>
      </c>
      <c r="J161" s="36">
        <f t="shared" si="78"/>
        <v>2</v>
      </c>
      <c r="K161" s="36">
        <f t="shared" si="78"/>
        <v>3</v>
      </c>
      <c r="L161" s="36">
        <f t="shared" si="78"/>
        <v>2</v>
      </c>
      <c r="M161" s="36">
        <f t="shared" si="78"/>
        <v>1</v>
      </c>
      <c r="N161" s="36">
        <f t="shared" si="78"/>
        <v>1</v>
      </c>
      <c r="O161" s="36">
        <f t="shared" si="78"/>
        <v>1</v>
      </c>
      <c r="P161" s="36">
        <f t="shared" si="78"/>
        <v>0</v>
      </c>
      <c r="Q161" s="44">
        <f>SUM(E161:P161)</f>
        <v>24</v>
      </c>
    </row>
    <row r="162" spans="2:17" x14ac:dyDescent="0.45">
      <c r="B162" t="s">
        <v>471</v>
      </c>
      <c r="C162" s="43" t="s">
        <v>303</v>
      </c>
      <c r="E162" s="36">
        <f t="shared" ref="E162:P162" si="79">E11+E21+E31</f>
        <v>1.05</v>
      </c>
      <c r="F162" s="36">
        <f t="shared" si="79"/>
        <v>1.0850000000000002</v>
      </c>
      <c r="G162" s="36">
        <f t="shared" si="79"/>
        <v>1.1312583333333333</v>
      </c>
      <c r="H162" s="36">
        <f t="shared" si="79"/>
        <v>1.1653103194444445</v>
      </c>
      <c r="I162" s="36">
        <f t="shared" si="79"/>
        <v>1.1872983657175928</v>
      </c>
      <c r="J162" s="36">
        <f t="shared" si="79"/>
        <v>1.209438218117554</v>
      </c>
      <c r="K162" s="36">
        <f t="shared" si="79"/>
        <v>1.2318594527950715</v>
      </c>
      <c r="L162" s="36">
        <f t="shared" si="79"/>
        <v>1.2660830462393142</v>
      </c>
      <c r="M162" s="36">
        <f t="shared" si="79"/>
        <v>1.2884972249665607</v>
      </c>
      <c r="N162" s="36">
        <f t="shared" si="79"/>
        <v>1.2992415365533223</v>
      </c>
      <c r="O162" s="36">
        <f t="shared" si="79"/>
        <v>1.3101220789094759</v>
      </c>
      <c r="P162" s="36">
        <f t="shared" si="79"/>
        <v>1.3212749568616575</v>
      </c>
      <c r="Q162" s="44">
        <f>SUM(E162:P162)</f>
        <v>14.545383532938327</v>
      </c>
    </row>
    <row r="163" spans="2:17" x14ac:dyDescent="0.45">
      <c r="B163" s="4" t="s">
        <v>482</v>
      </c>
    </row>
    <row r="164" spans="2:17" x14ac:dyDescent="0.45">
      <c r="B164" t="s">
        <v>481</v>
      </c>
      <c r="C164" s="43" t="s">
        <v>314</v>
      </c>
      <c r="E164" s="36">
        <f t="shared" ref="E164:P164" si="80">E42+E52+E62</f>
        <v>72</v>
      </c>
      <c r="F164" s="36">
        <f t="shared" si="80"/>
        <v>72.965000000000003</v>
      </c>
      <c r="G164" s="36">
        <f t="shared" si="80"/>
        <v>74.918741666666676</v>
      </c>
      <c r="H164" s="36">
        <f t="shared" si="80"/>
        <v>77.849689680555556</v>
      </c>
      <c r="I164" s="36">
        <f t="shared" si="80"/>
        <v>78.781443300949078</v>
      </c>
      <c r="J164" s="36">
        <f t="shared" si="80"/>
        <v>79.713584795771339</v>
      </c>
      <c r="K164" s="36">
        <f t="shared" si="80"/>
        <v>81.657644959265127</v>
      </c>
      <c r="L164" s="36">
        <f t="shared" si="80"/>
        <v>82.613218814346837</v>
      </c>
      <c r="M164" s="36">
        <f t="shared" si="80"/>
        <v>84.568514766690527</v>
      </c>
      <c r="N164" s="36">
        <f t="shared" si="80"/>
        <v>86.511873917029803</v>
      </c>
      <c r="O164" s="36">
        <f t="shared" si="80"/>
        <v>86.455241245855888</v>
      </c>
      <c r="P164" s="36">
        <f t="shared" si="80"/>
        <v>86.410417650821628</v>
      </c>
      <c r="Q164" s="44">
        <f>P164</f>
        <v>86.410417650821628</v>
      </c>
    </row>
    <row r="165" spans="2:17" x14ac:dyDescent="0.45">
      <c r="B165" t="s">
        <v>475</v>
      </c>
      <c r="C165" s="43" t="s">
        <v>314</v>
      </c>
      <c r="E165" s="36">
        <f t="shared" ref="E165:P165" si="81">E43+E53+E63</f>
        <v>72.804999999999993</v>
      </c>
      <c r="F165" s="36">
        <f t="shared" si="81"/>
        <v>73.804999999999993</v>
      </c>
      <c r="G165" s="36">
        <f t="shared" si="81"/>
        <v>75.77</v>
      </c>
      <c r="H165" s="36">
        <f t="shared" si="81"/>
        <v>78.723741666666669</v>
      </c>
      <c r="I165" s="36">
        <f t="shared" si="81"/>
        <v>79.689689680555546</v>
      </c>
      <c r="J165" s="36">
        <f t="shared" si="81"/>
        <v>80.632701634282412</v>
      </c>
      <c r="K165" s="36">
        <f t="shared" si="81"/>
        <v>82.587636781882466</v>
      </c>
      <c r="L165" s="36">
        <f t="shared" si="81"/>
        <v>83.565891338871594</v>
      </c>
      <c r="M165" s="36">
        <f t="shared" si="81"/>
        <v>85.53233565285791</v>
      </c>
      <c r="N165" s="36">
        <f t="shared" si="81"/>
        <v>87.498506589307851</v>
      </c>
      <c r="O165" s="36">
        <f t="shared" si="81"/>
        <v>87.464546441554575</v>
      </c>
      <c r="P165" s="36">
        <f t="shared" si="81"/>
        <v>87.419062132023271</v>
      </c>
      <c r="Q165" s="44">
        <f>AVERAGE(E165:P165)</f>
        <v>81.29117599316686</v>
      </c>
    </row>
    <row r="166" spans="2:17" x14ac:dyDescent="0.45">
      <c r="B166" t="s">
        <v>436</v>
      </c>
      <c r="C166" s="43" t="s">
        <v>314</v>
      </c>
      <c r="E166" s="36">
        <f t="shared" ref="E166:P166" si="82">E40+E50+E60</f>
        <v>3.8050000000000002</v>
      </c>
      <c r="F166" s="36">
        <f t="shared" si="82"/>
        <v>1.8050000000000002</v>
      </c>
      <c r="G166" s="36">
        <f t="shared" si="82"/>
        <v>2.8049999999999997</v>
      </c>
      <c r="H166" s="36">
        <f t="shared" si="82"/>
        <v>3.8050000000000002</v>
      </c>
      <c r="I166" s="36">
        <f t="shared" si="82"/>
        <v>1.8399999999999999</v>
      </c>
      <c r="J166" s="36">
        <f t="shared" si="82"/>
        <v>1.8512583333333335</v>
      </c>
      <c r="K166" s="36">
        <f t="shared" si="82"/>
        <v>2.8740519861111111</v>
      </c>
      <c r="L166" s="36">
        <f t="shared" si="82"/>
        <v>1.9082463796064815</v>
      </c>
      <c r="M166" s="36">
        <f t="shared" si="82"/>
        <v>2.9191168385110728</v>
      </c>
      <c r="N166" s="36">
        <f t="shared" si="82"/>
        <v>2.9299918226173323</v>
      </c>
      <c r="O166" s="36">
        <f t="shared" si="82"/>
        <v>0.95267252452475981</v>
      </c>
      <c r="P166" s="36">
        <f t="shared" si="82"/>
        <v>0.96382088616737982</v>
      </c>
      <c r="Q166" s="44">
        <f>SUM(E166:P166)</f>
        <v>28.459158770871472</v>
      </c>
    </row>
    <row r="167" spans="2:17" x14ac:dyDescent="0.45">
      <c r="B167" t="s">
        <v>465</v>
      </c>
      <c r="C167" s="43" t="s">
        <v>314</v>
      </c>
      <c r="E167" s="36">
        <f t="shared" ref="E167:P167" si="83">E38+E48+E58</f>
        <v>3</v>
      </c>
      <c r="F167" s="36">
        <f t="shared" si="83"/>
        <v>1</v>
      </c>
      <c r="G167" s="36">
        <f t="shared" si="83"/>
        <v>2</v>
      </c>
      <c r="H167" s="36">
        <f t="shared" si="83"/>
        <v>3</v>
      </c>
      <c r="I167" s="36">
        <f t="shared" si="83"/>
        <v>1</v>
      </c>
      <c r="J167" s="36">
        <f t="shared" si="83"/>
        <v>1</v>
      </c>
      <c r="K167" s="36">
        <f t="shared" si="83"/>
        <v>2</v>
      </c>
      <c r="L167" s="36">
        <f t="shared" si="83"/>
        <v>1</v>
      </c>
      <c r="M167" s="36">
        <f t="shared" si="83"/>
        <v>2</v>
      </c>
      <c r="N167" s="36">
        <f t="shared" si="83"/>
        <v>2</v>
      </c>
      <c r="O167" s="36">
        <f t="shared" si="83"/>
        <v>0</v>
      </c>
      <c r="P167" s="36">
        <f t="shared" si="83"/>
        <v>0</v>
      </c>
      <c r="Q167" s="44">
        <f>SUM(E167:P167)</f>
        <v>18</v>
      </c>
    </row>
    <row r="168" spans="2:17" x14ac:dyDescent="0.45">
      <c r="B168" t="s">
        <v>471</v>
      </c>
      <c r="C168" s="43" t="s">
        <v>314</v>
      </c>
      <c r="E168" s="36">
        <f t="shared" ref="E168:P168" si="84">E41+E51+E61</f>
        <v>0.80500000000000005</v>
      </c>
      <c r="F168" s="36">
        <f t="shared" si="84"/>
        <v>0.84</v>
      </c>
      <c r="G168" s="36">
        <f t="shared" si="84"/>
        <v>0.85125833333333334</v>
      </c>
      <c r="H168" s="36">
        <f t="shared" si="84"/>
        <v>0.87405198611111123</v>
      </c>
      <c r="I168" s="36">
        <f t="shared" si="84"/>
        <v>0.90824637960648158</v>
      </c>
      <c r="J168" s="36">
        <f t="shared" si="84"/>
        <v>0.91911683851107262</v>
      </c>
      <c r="K168" s="36">
        <f t="shared" si="84"/>
        <v>0.92999182261733226</v>
      </c>
      <c r="L168" s="36">
        <f t="shared" si="84"/>
        <v>0.95267252452475981</v>
      </c>
      <c r="M168" s="36">
        <f t="shared" si="84"/>
        <v>0.96382088616737982</v>
      </c>
      <c r="N168" s="36">
        <f t="shared" si="84"/>
        <v>0.98663267227805607</v>
      </c>
      <c r="O168" s="36">
        <f t="shared" si="84"/>
        <v>1.0093051956986809</v>
      </c>
      <c r="P168" s="36">
        <f t="shared" si="84"/>
        <v>1.0086444812016522</v>
      </c>
      <c r="Q168" s="44">
        <f>SUM(E168:P168)</f>
        <v>11.048741120049861</v>
      </c>
    </row>
    <row r="169" spans="2:17" x14ac:dyDescent="0.45">
      <c r="B169" s="4" t="s">
        <v>483</v>
      </c>
    </row>
    <row r="170" spans="2:17" x14ac:dyDescent="0.45">
      <c r="B170" t="s">
        <v>481</v>
      </c>
      <c r="C170" s="43" t="s">
        <v>324</v>
      </c>
      <c r="E170" s="36">
        <f t="shared" ref="E170:P170" si="85">E72+E82+E92</f>
        <v>31</v>
      </c>
      <c r="F170" s="36">
        <f t="shared" si="85"/>
        <v>31.988333333333333</v>
      </c>
      <c r="G170" s="36">
        <f t="shared" si="85"/>
        <v>31.965136111111114</v>
      </c>
      <c r="H170" s="36">
        <f t="shared" si="85"/>
        <v>32.942209523148151</v>
      </c>
      <c r="I170" s="36">
        <f t="shared" si="85"/>
        <v>32.919550412044757</v>
      </c>
      <c r="J170" s="36">
        <f t="shared" si="85"/>
        <v>32.908686212793121</v>
      </c>
      <c r="K170" s="36">
        <f t="shared" si="85"/>
        <v>33.897678128273498</v>
      </c>
      <c r="L170" s="36">
        <f t="shared" si="85"/>
        <v>34.88653099454703</v>
      </c>
      <c r="M170" s="36">
        <f t="shared" si="85"/>
        <v>34.863582887751171</v>
      </c>
      <c r="N170" s="36">
        <f t="shared" si="85"/>
        <v>34.840775759876664</v>
      </c>
      <c r="O170" s="36">
        <f t="shared" si="85"/>
        <v>34.829772954174629</v>
      </c>
      <c r="P170" s="36">
        <f t="shared" si="85"/>
        <v>34.830435131312306</v>
      </c>
      <c r="Q170" s="44">
        <f>P170</f>
        <v>34.830435131312306</v>
      </c>
    </row>
    <row r="171" spans="2:17" x14ac:dyDescent="0.45">
      <c r="B171" t="s">
        <v>475</v>
      </c>
      <c r="C171" s="43" t="s">
        <v>324</v>
      </c>
      <c r="E171" s="36">
        <f t="shared" ref="E171:P171" si="86">E73+E83+E93</f>
        <v>31.35</v>
      </c>
      <c r="F171" s="36">
        <f t="shared" si="86"/>
        <v>32.35</v>
      </c>
      <c r="G171" s="36">
        <f t="shared" si="86"/>
        <v>32.338333333333338</v>
      </c>
      <c r="H171" s="36">
        <f t="shared" si="86"/>
        <v>33.315136111111116</v>
      </c>
      <c r="I171" s="36">
        <f t="shared" si="86"/>
        <v>33.303876189814815</v>
      </c>
      <c r="J171" s="36">
        <f t="shared" si="86"/>
        <v>33.292747634266973</v>
      </c>
      <c r="K171" s="36">
        <f t="shared" si="86"/>
        <v>34.281612800756079</v>
      </c>
      <c r="L171" s="36">
        <f t="shared" si="86"/>
        <v>35.282003906043556</v>
      </c>
      <c r="M171" s="36">
        <f t="shared" si="86"/>
        <v>35.270592416020889</v>
      </c>
      <c r="N171" s="36">
        <f t="shared" si="86"/>
        <v>35.24751756023376</v>
      </c>
      <c r="O171" s="36">
        <f t="shared" si="86"/>
        <v>35.23624867137319</v>
      </c>
      <c r="P171" s="36">
        <f t="shared" si="86"/>
        <v>35.23678248244434</v>
      </c>
      <c r="Q171" s="44">
        <f>AVERAGE(E171:P171)</f>
        <v>33.875404258783163</v>
      </c>
    </row>
    <row r="172" spans="2:17" x14ac:dyDescent="0.45">
      <c r="B172" t="s">
        <v>436</v>
      </c>
      <c r="C172" s="43" t="s">
        <v>324</v>
      </c>
      <c r="E172" s="36">
        <f t="shared" ref="E172:P172" si="87">E70+E80+E90</f>
        <v>1.35</v>
      </c>
      <c r="F172" s="36">
        <f t="shared" si="87"/>
        <v>1.35</v>
      </c>
      <c r="G172" s="36">
        <f t="shared" si="87"/>
        <v>0.35000000000000003</v>
      </c>
      <c r="H172" s="36">
        <f t="shared" si="87"/>
        <v>1.35</v>
      </c>
      <c r="I172" s="36">
        <f t="shared" si="87"/>
        <v>0.36166666666666669</v>
      </c>
      <c r="J172" s="36">
        <f t="shared" si="87"/>
        <v>0.37319722222222224</v>
      </c>
      <c r="K172" s="36">
        <f t="shared" si="87"/>
        <v>1.3729265879629631</v>
      </c>
      <c r="L172" s="36">
        <f t="shared" si="87"/>
        <v>1.3843257777700617</v>
      </c>
      <c r="M172" s="36">
        <f t="shared" si="87"/>
        <v>0.38406142147385547</v>
      </c>
      <c r="N172" s="36">
        <f t="shared" si="87"/>
        <v>0.38393467248258639</v>
      </c>
      <c r="O172" s="36">
        <f t="shared" si="87"/>
        <v>0.39547291149652419</v>
      </c>
      <c r="P172" s="36">
        <f t="shared" si="87"/>
        <v>0.40700952826971537</v>
      </c>
      <c r="Q172" s="44">
        <f>SUM(E172:P172)</f>
        <v>9.462594788344596</v>
      </c>
    </row>
    <row r="173" spans="2:17" x14ac:dyDescent="0.45">
      <c r="B173" t="s">
        <v>465</v>
      </c>
      <c r="C173" s="43" t="s">
        <v>324</v>
      </c>
      <c r="E173" s="36">
        <f t="shared" ref="E173:P173" si="88">E68+E78+E88</f>
        <v>1</v>
      </c>
      <c r="F173" s="36">
        <f t="shared" si="88"/>
        <v>1</v>
      </c>
      <c r="G173" s="36">
        <f t="shared" si="88"/>
        <v>0</v>
      </c>
      <c r="H173" s="36">
        <f t="shared" si="88"/>
        <v>1</v>
      </c>
      <c r="I173" s="36">
        <f t="shared" si="88"/>
        <v>0</v>
      </c>
      <c r="J173" s="36">
        <f t="shared" si="88"/>
        <v>0</v>
      </c>
      <c r="K173" s="36">
        <f t="shared" si="88"/>
        <v>1</v>
      </c>
      <c r="L173" s="36">
        <f t="shared" si="88"/>
        <v>1</v>
      </c>
      <c r="M173" s="36">
        <f t="shared" si="88"/>
        <v>0</v>
      </c>
      <c r="N173" s="36">
        <f t="shared" si="88"/>
        <v>0</v>
      </c>
      <c r="O173" s="36">
        <f t="shared" si="88"/>
        <v>0</v>
      </c>
      <c r="P173" s="36">
        <f t="shared" si="88"/>
        <v>0</v>
      </c>
      <c r="Q173" s="44">
        <f>SUM(E173:P173)</f>
        <v>5</v>
      </c>
    </row>
    <row r="174" spans="2:17" x14ac:dyDescent="0.45">
      <c r="B174" t="s">
        <v>471</v>
      </c>
      <c r="C174" s="43" t="s">
        <v>324</v>
      </c>
      <c r="E174" s="36">
        <f t="shared" ref="E174:P174" si="89">E71+E81+E91</f>
        <v>0.35000000000000003</v>
      </c>
      <c r="F174" s="36">
        <f t="shared" si="89"/>
        <v>0.36166666666666669</v>
      </c>
      <c r="G174" s="36">
        <f t="shared" si="89"/>
        <v>0.37319722222222224</v>
      </c>
      <c r="H174" s="36">
        <f t="shared" si="89"/>
        <v>0.37292658796296302</v>
      </c>
      <c r="I174" s="36">
        <f t="shared" si="89"/>
        <v>0.38432577777006172</v>
      </c>
      <c r="J174" s="36">
        <f t="shared" si="89"/>
        <v>0.38406142147385547</v>
      </c>
      <c r="K174" s="36">
        <f t="shared" si="89"/>
        <v>0.38393467248258639</v>
      </c>
      <c r="L174" s="36">
        <f t="shared" si="89"/>
        <v>0.39547291149652419</v>
      </c>
      <c r="M174" s="36">
        <f t="shared" si="89"/>
        <v>0.40700952826971537</v>
      </c>
      <c r="N174" s="36">
        <f t="shared" si="89"/>
        <v>0.40674180035709706</v>
      </c>
      <c r="O174" s="36">
        <f t="shared" si="89"/>
        <v>0.40647571719856113</v>
      </c>
      <c r="P174" s="36">
        <f t="shared" si="89"/>
        <v>0.40634735113203735</v>
      </c>
      <c r="Q174" s="44">
        <f>SUM(E174:P174)</f>
        <v>4.6321596570322914</v>
      </c>
    </row>
    <row r="175" spans="2:17" x14ac:dyDescent="0.45">
      <c r="B175" s="4" t="s">
        <v>484</v>
      </c>
    </row>
    <row r="176" spans="2:17" x14ac:dyDescent="0.45">
      <c r="B176" t="s">
        <v>481</v>
      </c>
      <c r="C176" s="43" t="s">
        <v>333</v>
      </c>
      <c r="E176" s="36">
        <f t="shared" ref="E176:P176" si="90">E102+E112+E122</f>
        <v>61</v>
      </c>
      <c r="F176" s="36">
        <f t="shared" si="90"/>
        <v>61.98833333333333</v>
      </c>
      <c r="G176" s="36">
        <f t="shared" si="90"/>
        <v>62.965136111111107</v>
      </c>
      <c r="H176" s="36">
        <f t="shared" si="90"/>
        <v>62.930542856481473</v>
      </c>
      <c r="I176" s="36">
        <f t="shared" si="90"/>
        <v>63.90801985648919</v>
      </c>
      <c r="J176" s="36">
        <f t="shared" si="90"/>
        <v>64.88562351371904</v>
      </c>
      <c r="K176" s="36">
        <f t="shared" si="90"/>
        <v>65.863217827355285</v>
      </c>
      <c r="L176" s="36">
        <f t="shared" si="90"/>
        <v>65.829003286028424</v>
      </c>
      <c r="M176" s="36">
        <f t="shared" si="90"/>
        <v>66.806591812683806</v>
      </c>
      <c r="N176" s="36">
        <f t="shared" si="90"/>
        <v>67.784180515862545</v>
      </c>
      <c r="O176" s="36">
        <f t="shared" si="90"/>
        <v>67.761769284496623</v>
      </c>
      <c r="P176" s="36">
        <f t="shared" si="90"/>
        <v>67.739220347847834</v>
      </c>
      <c r="Q176" s="44">
        <f>P176</f>
        <v>67.739220347847834</v>
      </c>
    </row>
    <row r="177" spans="2:17" x14ac:dyDescent="0.45">
      <c r="B177" t="s">
        <v>475</v>
      </c>
      <c r="C177" s="43" t="s">
        <v>333</v>
      </c>
      <c r="E177" s="36">
        <f t="shared" ref="E177:P177" si="91">E103+E113+E123</f>
        <v>61.7</v>
      </c>
      <c r="F177" s="36">
        <f t="shared" si="91"/>
        <v>62.7</v>
      </c>
      <c r="G177" s="36">
        <f t="shared" si="91"/>
        <v>63.688333333333333</v>
      </c>
      <c r="H177" s="36">
        <f t="shared" si="91"/>
        <v>63.665136111111096</v>
      </c>
      <c r="I177" s="36">
        <f t="shared" si="91"/>
        <v>64.642209523148139</v>
      </c>
      <c r="J177" s="36">
        <f t="shared" si="91"/>
        <v>65.631217078711416</v>
      </c>
      <c r="K177" s="36">
        <f t="shared" si="91"/>
        <v>66.620216768348669</v>
      </c>
      <c r="L177" s="36">
        <f t="shared" si="91"/>
        <v>66.597407494014234</v>
      </c>
      <c r="M177" s="36">
        <f t="shared" si="91"/>
        <v>67.5745968510208</v>
      </c>
      <c r="N177" s="36">
        <f t="shared" si="91"/>
        <v>68.56359075367719</v>
      </c>
      <c r="O177" s="36">
        <f t="shared" si="91"/>
        <v>68.552584723848355</v>
      </c>
      <c r="P177" s="36">
        <f t="shared" si="91"/>
        <v>68.529774322833617</v>
      </c>
      <c r="Q177" s="44">
        <f>AVERAGE(E177:P177)</f>
        <v>65.70542224667058</v>
      </c>
    </row>
    <row r="178" spans="2:17" x14ac:dyDescent="0.45">
      <c r="B178" t="s">
        <v>436</v>
      </c>
      <c r="C178" s="43" t="s">
        <v>333</v>
      </c>
      <c r="E178" s="36">
        <f t="shared" ref="E178:P178" si="92">E100+E110+E120</f>
        <v>1.6999999999999997</v>
      </c>
      <c r="F178" s="36">
        <f t="shared" si="92"/>
        <v>1.6999999999999997</v>
      </c>
      <c r="G178" s="36">
        <f t="shared" si="92"/>
        <v>1.6999999999999997</v>
      </c>
      <c r="H178" s="36">
        <f t="shared" si="92"/>
        <v>0.70000000000000007</v>
      </c>
      <c r="I178" s="36">
        <f t="shared" si="92"/>
        <v>1.7116666666666664</v>
      </c>
      <c r="J178" s="36">
        <f t="shared" si="92"/>
        <v>1.7231972222222223</v>
      </c>
      <c r="K178" s="36">
        <f t="shared" si="92"/>
        <v>1.7345932546296297</v>
      </c>
      <c r="L178" s="36">
        <f t="shared" si="92"/>
        <v>0.73418966665895058</v>
      </c>
      <c r="M178" s="36">
        <f t="shared" si="92"/>
        <v>1.7455935649923742</v>
      </c>
      <c r="N178" s="36">
        <f t="shared" si="92"/>
        <v>1.7569989409933888</v>
      </c>
      <c r="O178" s="36">
        <f t="shared" si="92"/>
        <v>0.76840420798581166</v>
      </c>
      <c r="P178" s="36">
        <f t="shared" si="92"/>
        <v>0.7680050383369984</v>
      </c>
      <c r="Q178" s="44">
        <f>SUM(E178:P178)</f>
        <v>16.742648562486043</v>
      </c>
    </row>
    <row r="179" spans="2:17" x14ac:dyDescent="0.45">
      <c r="B179" t="s">
        <v>465</v>
      </c>
      <c r="C179" s="43" t="s">
        <v>333</v>
      </c>
      <c r="E179" s="36">
        <f t="shared" ref="E179:P179" si="93">E98+E108+E118</f>
        <v>1</v>
      </c>
      <c r="F179" s="36">
        <f t="shared" si="93"/>
        <v>1</v>
      </c>
      <c r="G179" s="36">
        <f t="shared" si="93"/>
        <v>1</v>
      </c>
      <c r="H179" s="36">
        <f t="shared" si="93"/>
        <v>0</v>
      </c>
      <c r="I179" s="36">
        <f t="shared" si="93"/>
        <v>1</v>
      </c>
      <c r="J179" s="36">
        <f t="shared" si="93"/>
        <v>1</v>
      </c>
      <c r="K179" s="36">
        <f t="shared" si="93"/>
        <v>1</v>
      </c>
      <c r="L179" s="36">
        <f t="shared" si="93"/>
        <v>0</v>
      </c>
      <c r="M179" s="36">
        <f t="shared" si="93"/>
        <v>1</v>
      </c>
      <c r="N179" s="36">
        <f t="shared" si="93"/>
        <v>1</v>
      </c>
      <c r="O179" s="36">
        <f t="shared" si="93"/>
        <v>0</v>
      </c>
      <c r="P179" s="36">
        <f t="shared" si="93"/>
        <v>0</v>
      </c>
      <c r="Q179" s="44">
        <f>SUM(E179:P179)</f>
        <v>8</v>
      </c>
    </row>
    <row r="180" spans="2:17" x14ac:dyDescent="0.45">
      <c r="B180" t="s">
        <v>471</v>
      </c>
      <c r="C180" s="43" t="s">
        <v>333</v>
      </c>
      <c r="E180" s="36">
        <f t="shared" ref="E180:P180" si="94">E101+E111+E121</f>
        <v>0.70000000000000007</v>
      </c>
      <c r="F180" s="36">
        <f t="shared" si="94"/>
        <v>0.71166666666666678</v>
      </c>
      <c r="G180" s="36">
        <f t="shared" si="94"/>
        <v>0.72319722222222216</v>
      </c>
      <c r="H180" s="36">
        <f t="shared" si="94"/>
        <v>0.73459325462962954</v>
      </c>
      <c r="I180" s="36">
        <f t="shared" si="94"/>
        <v>0.73418966665895058</v>
      </c>
      <c r="J180" s="36">
        <f t="shared" si="94"/>
        <v>0.74559356499237395</v>
      </c>
      <c r="K180" s="36">
        <f t="shared" si="94"/>
        <v>0.75699894099338894</v>
      </c>
      <c r="L180" s="36">
        <f t="shared" si="94"/>
        <v>0.76840420798581166</v>
      </c>
      <c r="M180" s="36">
        <f t="shared" si="94"/>
        <v>0.7680050383369984</v>
      </c>
      <c r="N180" s="36">
        <f t="shared" si="94"/>
        <v>0.77941023781464447</v>
      </c>
      <c r="O180" s="36">
        <f t="shared" si="94"/>
        <v>0.79081543935172982</v>
      </c>
      <c r="P180" s="36">
        <f t="shared" si="94"/>
        <v>0.79055397498579405</v>
      </c>
      <c r="Q180" s="44">
        <f>SUM(E180:P180)</f>
        <v>9.0034282146382107</v>
      </c>
    </row>
    <row r="181" spans="2:17" x14ac:dyDescent="0.45">
      <c r="B181" s="4" t="s">
        <v>485</v>
      </c>
    </row>
    <row r="182" spans="2:17" x14ac:dyDescent="0.45">
      <c r="B182" t="s">
        <v>481</v>
      </c>
      <c r="C182" s="43" t="s">
        <v>342</v>
      </c>
      <c r="E182" s="36">
        <f t="shared" ref="E182:P182" si="95">E132+E142+E152</f>
        <v>52</v>
      </c>
      <c r="F182" s="36">
        <f t="shared" si="95"/>
        <v>52.98833333333333</v>
      </c>
      <c r="G182" s="36">
        <f t="shared" si="95"/>
        <v>52.965136111111107</v>
      </c>
      <c r="H182" s="36">
        <f t="shared" si="95"/>
        <v>53.942209523148151</v>
      </c>
      <c r="I182" s="36">
        <f t="shared" si="95"/>
        <v>53.919550412044757</v>
      </c>
      <c r="J182" s="36">
        <f t="shared" si="95"/>
        <v>53.908686212793121</v>
      </c>
      <c r="K182" s="36">
        <f t="shared" si="95"/>
        <v>54.897678128273498</v>
      </c>
      <c r="L182" s="36">
        <f t="shared" si="95"/>
        <v>55.886530994547037</v>
      </c>
      <c r="M182" s="36">
        <f t="shared" si="95"/>
        <v>55.863582887751178</v>
      </c>
      <c r="N182" s="36">
        <f t="shared" si="95"/>
        <v>55.840775759876664</v>
      </c>
      <c r="O182" s="36">
        <f t="shared" si="95"/>
        <v>55.829772954174629</v>
      </c>
      <c r="P182" s="36">
        <f t="shared" si="95"/>
        <v>55.830435131312314</v>
      </c>
      <c r="Q182" s="44">
        <f>P182</f>
        <v>55.830435131312314</v>
      </c>
    </row>
    <row r="183" spans="2:17" x14ac:dyDescent="0.45">
      <c r="B183" t="s">
        <v>475</v>
      </c>
      <c r="C183" s="43" t="s">
        <v>342</v>
      </c>
      <c r="E183" s="36">
        <f t="shared" ref="E183:P183" si="96">E133+E143+E153</f>
        <v>52.594999999999999</v>
      </c>
      <c r="F183" s="36">
        <f t="shared" si="96"/>
        <v>53.594999999999999</v>
      </c>
      <c r="G183" s="36">
        <f t="shared" si="96"/>
        <v>53.583333333333336</v>
      </c>
      <c r="H183" s="36">
        <f t="shared" si="96"/>
        <v>54.560136111111113</v>
      </c>
      <c r="I183" s="36">
        <f t="shared" si="96"/>
        <v>54.54887618981482</v>
      </c>
      <c r="J183" s="36">
        <f t="shared" si="96"/>
        <v>54.537747634266978</v>
      </c>
      <c r="K183" s="36">
        <f t="shared" si="96"/>
        <v>55.526612800756084</v>
      </c>
      <c r="L183" s="36">
        <f t="shared" si="96"/>
        <v>56.527003906043561</v>
      </c>
      <c r="M183" s="36">
        <f t="shared" si="96"/>
        <v>56.515592416020894</v>
      </c>
      <c r="N183" s="36">
        <f t="shared" si="96"/>
        <v>56.492517560233765</v>
      </c>
      <c r="O183" s="36">
        <f t="shared" si="96"/>
        <v>56.481248671373194</v>
      </c>
      <c r="P183" s="36">
        <f t="shared" si="96"/>
        <v>56.481782482444345</v>
      </c>
      <c r="Q183" s="44">
        <f>AVERAGE(E183:P183)</f>
        <v>55.120404258783175</v>
      </c>
    </row>
    <row r="184" spans="2:17" x14ac:dyDescent="0.45">
      <c r="B184" t="s">
        <v>436</v>
      </c>
      <c r="C184" s="43" t="s">
        <v>342</v>
      </c>
      <c r="E184" s="36">
        <f t="shared" ref="E184:P184" si="97">E130+E140+E150</f>
        <v>1.595</v>
      </c>
      <c r="F184" s="36">
        <f t="shared" si="97"/>
        <v>1.595</v>
      </c>
      <c r="G184" s="36">
        <f t="shared" si="97"/>
        <v>0.59500000000000008</v>
      </c>
      <c r="H184" s="36">
        <f t="shared" si="97"/>
        <v>1.595</v>
      </c>
      <c r="I184" s="36">
        <f t="shared" si="97"/>
        <v>0.60666666666666669</v>
      </c>
      <c r="J184" s="36">
        <f t="shared" si="97"/>
        <v>0.61819722222222229</v>
      </c>
      <c r="K184" s="36">
        <f t="shared" si="97"/>
        <v>1.617926587962963</v>
      </c>
      <c r="L184" s="36">
        <f t="shared" si="97"/>
        <v>1.6293257777700618</v>
      </c>
      <c r="M184" s="36">
        <f t="shared" si="97"/>
        <v>0.62906142147385546</v>
      </c>
      <c r="N184" s="36">
        <f t="shared" si="97"/>
        <v>0.6289346724825865</v>
      </c>
      <c r="O184" s="36">
        <f t="shared" si="97"/>
        <v>0.6404729114965243</v>
      </c>
      <c r="P184" s="36">
        <f t="shared" si="97"/>
        <v>0.65200952826971548</v>
      </c>
      <c r="Q184" s="44">
        <f>SUM(E184:P184)</f>
        <v>12.402594788344594</v>
      </c>
    </row>
    <row r="185" spans="2:17" x14ac:dyDescent="0.45">
      <c r="B185" t="s">
        <v>465</v>
      </c>
      <c r="C185" s="43" t="s">
        <v>342</v>
      </c>
      <c r="E185" s="36">
        <f t="shared" ref="E185:P185" si="98">E128+E138+E148</f>
        <v>1</v>
      </c>
      <c r="F185" s="36">
        <f t="shared" si="98"/>
        <v>1</v>
      </c>
      <c r="G185" s="36">
        <f t="shared" si="98"/>
        <v>0</v>
      </c>
      <c r="H185" s="36">
        <f t="shared" si="98"/>
        <v>1</v>
      </c>
      <c r="I185" s="36">
        <f t="shared" si="98"/>
        <v>0</v>
      </c>
      <c r="J185" s="36">
        <f t="shared" si="98"/>
        <v>0</v>
      </c>
      <c r="K185" s="36">
        <f t="shared" si="98"/>
        <v>1</v>
      </c>
      <c r="L185" s="36">
        <f t="shared" si="98"/>
        <v>1</v>
      </c>
      <c r="M185" s="36">
        <f t="shared" si="98"/>
        <v>0</v>
      </c>
      <c r="N185" s="36">
        <f t="shared" si="98"/>
        <v>0</v>
      </c>
      <c r="O185" s="36">
        <f t="shared" si="98"/>
        <v>0</v>
      </c>
      <c r="P185" s="36">
        <f t="shared" si="98"/>
        <v>0</v>
      </c>
      <c r="Q185" s="44">
        <f>SUM(E185:P185)</f>
        <v>5</v>
      </c>
    </row>
    <row r="186" spans="2:17" x14ac:dyDescent="0.45">
      <c r="B186" t="s">
        <v>471</v>
      </c>
      <c r="C186" s="43" t="s">
        <v>342</v>
      </c>
      <c r="E186" s="36">
        <f t="shared" ref="E186:P186" si="99">E131+E141+E151</f>
        <v>0.59500000000000008</v>
      </c>
      <c r="F186" s="36">
        <f t="shared" si="99"/>
        <v>0.60666666666666669</v>
      </c>
      <c r="G186" s="36">
        <f t="shared" si="99"/>
        <v>0.61819722222222229</v>
      </c>
      <c r="H186" s="36">
        <f t="shared" si="99"/>
        <v>0.61792658796296307</v>
      </c>
      <c r="I186" s="36">
        <f t="shared" si="99"/>
        <v>0.62932577777006182</v>
      </c>
      <c r="J186" s="36">
        <f t="shared" si="99"/>
        <v>0.62906142147385546</v>
      </c>
      <c r="K186" s="36">
        <f t="shared" si="99"/>
        <v>0.6289346724825865</v>
      </c>
      <c r="L186" s="36">
        <f t="shared" si="99"/>
        <v>0.6404729114965243</v>
      </c>
      <c r="M186" s="36">
        <f t="shared" si="99"/>
        <v>0.65200952826971548</v>
      </c>
      <c r="N186" s="36">
        <f t="shared" si="99"/>
        <v>0.65174180035709717</v>
      </c>
      <c r="O186" s="36">
        <f t="shared" si="99"/>
        <v>0.65147571719856123</v>
      </c>
      <c r="P186" s="36">
        <f t="shared" si="99"/>
        <v>0.65134735113203746</v>
      </c>
      <c r="Q186" s="44">
        <f>SUM(E186:P186)</f>
        <v>7.5721596570322918</v>
      </c>
    </row>
    <row r="188" spans="2:17" ht="15.75" x14ac:dyDescent="0.5">
      <c r="B188" s="45" t="s">
        <v>107</v>
      </c>
    </row>
    <row r="189" spans="2:17" x14ac:dyDescent="0.45">
      <c r="B189" s="4" t="s">
        <v>481</v>
      </c>
      <c r="E189" s="44">
        <f t="shared" ref="E189:P189" si="100">E158+E164+E170+E176+E182</f>
        <v>309</v>
      </c>
      <c r="F189" s="44">
        <f t="shared" si="100"/>
        <v>316.89500000000004</v>
      </c>
      <c r="G189" s="44">
        <f t="shared" si="100"/>
        <v>322.69789166666669</v>
      </c>
      <c r="H189" s="44">
        <f t="shared" si="100"/>
        <v>329.43308293055554</v>
      </c>
      <c r="I189" s="44">
        <f t="shared" si="100"/>
        <v>333.19469696303247</v>
      </c>
      <c r="J189" s="44">
        <f t="shared" si="100"/>
        <v>337.004533831797</v>
      </c>
      <c r="K189" s="44">
        <f t="shared" si="100"/>
        <v>344.83762300653723</v>
      </c>
      <c r="L189" s="44">
        <f t="shared" si="100"/>
        <v>349.65790337231743</v>
      </c>
      <c r="M189" s="44">
        <f t="shared" si="100"/>
        <v>353.46583263087575</v>
      </c>
      <c r="N189" s="44">
        <f t="shared" si="100"/>
        <v>357.27378414488646</v>
      </c>
      <c r="O189" s="44">
        <f t="shared" si="100"/>
        <v>358.12869559827243</v>
      </c>
      <c r="P189" s="44">
        <f t="shared" si="100"/>
        <v>358.0298696889696</v>
      </c>
      <c r="Q189" s="44">
        <f>P189</f>
        <v>358.0298696889696</v>
      </c>
    </row>
    <row r="190" spans="2:17" x14ac:dyDescent="0.45">
      <c r="B190" s="4" t="s">
        <v>475</v>
      </c>
      <c r="E190" s="44">
        <f t="shared" ref="E190:P190" si="101">E159+E165+E171+E177+E183</f>
        <v>312.5</v>
      </c>
      <c r="F190" s="44">
        <f t="shared" si="101"/>
        <v>320.5</v>
      </c>
      <c r="G190" s="44">
        <f t="shared" si="101"/>
        <v>326.39499999999992</v>
      </c>
      <c r="H190" s="44">
        <f t="shared" si="101"/>
        <v>333.19789166666664</v>
      </c>
      <c r="I190" s="44">
        <f t="shared" si="101"/>
        <v>337.03808293055556</v>
      </c>
      <c r="J190" s="44">
        <f t="shared" si="101"/>
        <v>340.8918052963657</v>
      </c>
      <c r="K190" s="44">
        <f t="shared" si="101"/>
        <v>348.76934256790815</v>
      </c>
      <c r="L190" s="44">
        <f t="shared" si="101"/>
        <v>353.68100897406032</v>
      </c>
      <c r="M190" s="44">
        <f t="shared" si="101"/>
        <v>357.54517483688608</v>
      </c>
      <c r="N190" s="44">
        <f t="shared" si="101"/>
        <v>361.39755219224668</v>
      </c>
      <c r="O190" s="44">
        <f t="shared" si="101"/>
        <v>362.29688974662946</v>
      </c>
      <c r="P190" s="44">
        <f t="shared" si="101"/>
        <v>362.20803780428275</v>
      </c>
      <c r="Q190" s="44">
        <f>AVERAGE(E190:P190)</f>
        <v>343.0350655013001</v>
      </c>
    </row>
    <row r="191" spans="2:17" x14ac:dyDescent="0.45">
      <c r="B191" s="4" t="s">
        <v>436</v>
      </c>
      <c r="E191" s="44">
        <f t="shared" ref="E191:P191" si="102">E160+E166+E172+E178+E184</f>
        <v>12.5</v>
      </c>
      <c r="F191" s="44">
        <f t="shared" si="102"/>
        <v>11.5</v>
      </c>
      <c r="G191" s="44">
        <f t="shared" si="102"/>
        <v>9.5</v>
      </c>
      <c r="H191" s="44">
        <f t="shared" si="102"/>
        <v>10.5</v>
      </c>
      <c r="I191" s="44">
        <f t="shared" si="102"/>
        <v>7.6049999999999995</v>
      </c>
      <c r="J191" s="44">
        <f t="shared" si="102"/>
        <v>7.6971083333333334</v>
      </c>
      <c r="K191" s="44">
        <f t="shared" si="102"/>
        <v>11.76480873611111</v>
      </c>
      <c r="L191" s="44">
        <f t="shared" si="102"/>
        <v>8.8433859675231492</v>
      </c>
      <c r="M191" s="44">
        <f t="shared" si="102"/>
        <v>7.8872714645687125</v>
      </c>
      <c r="N191" s="44">
        <f t="shared" si="102"/>
        <v>7.931719561370965</v>
      </c>
      <c r="O191" s="44">
        <f t="shared" si="102"/>
        <v>5.0231056017429347</v>
      </c>
      <c r="P191" s="44">
        <f t="shared" si="102"/>
        <v>4.0793422060103701</v>
      </c>
      <c r="Q191" s="44">
        <f>SUM(E191:P191)</f>
        <v>104.83174187066058</v>
      </c>
    </row>
    <row r="192" spans="2:17" x14ac:dyDescent="0.45">
      <c r="B192" s="4" t="s">
        <v>465</v>
      </c>
      <c r="E192" s="44">
        <f t="shared" ref="E192:P192" si="103">E161+E167+E173+E179+E185</f>
        <v>9</v>
      </c>
      <c r="F192" s="44">
        <f t="shared" si="103"/>
        <v>8</v>
      </c>
      <c r="G192" s="44">
        <f t="shared" si="103"/>
        <v>6</v>
      </c>
      <c r="H192" s="44">
        <f t="shared" si="103"/>
        <v>7</v>
      </c>
      <c r="I192" s="44">
        <f t="shared" si="103"/>
        <v>4</v>
      </c>
      <c r="J192" s="44">
        <f t="shared" si="103"/>
        <v>4</v>
      </c>
      <c r="K192" s="44">
        <f t="shared" si="103"/>
        <v>8</v>
      </c>
      <c r="L192" s="44">
        <f t="shared" si="103"/>
        <v>5</v>
      </c>
      <c r="M192" s="44">
        <f t="shared" si="103"/>
        <v>4</v>
      </c>
      <c r="N192" s="44">
        <f t="shared" si="103"/>
        <v>4</v>
      </c>
      <c r="O192" s="44">
        <f t="shared" si="103"/>
        <v>1</v>
      </c>
      <c r="P192" s="44">
        <f t="shared" si="103"/>
        <v>0</v>
      </c>
      <c r="Q192" s="44">
        <f>SUM(E192:P192)</f>
        <v>60</v>
      </c>
    </row>
    <row r="193" spans="2:17" x14ac:dyDescent="0.45">
      <c r="B193" s="4" t="s">
        <v>471</v>
      </c>
      <c r="E193" s="44">
        <f t="shared" ref="E193:P193" si="104">E162+E168+E174+E180+E186</f>
        <v>3.5000000000000004</v>
      </c>
      <c r="F193" s="44">
        <f t="shared" si="104"/>
        <v>3.6050000000000004</v>
      </c>
      <c r="G193" s="44">
        <f t="shared" si="104"/>
        <v>3.6971083333333334</v>
      </c>
      <c r="H193" s="44">
        <f t="shared" si="104"/>
        <v>3.7648087361111111</v>
      </c>
      <c r="I193" s="44">
        <f t="shared" si="104"/>
        <v>3.8433859675231483</v>
      </c>
      <c r="J193" s="44">
        <f t="shared" si="104"/>
        <v>3.8872714645687112</v>
      </c>
      <c r="K193" s="44">
        <f t="shared" si="104"/>
        <v>3.9317195613709655</v>
      </c>
      <c r="L193" s="44">
        <f t="shared" si="104"/>
        <v>4.0231056017429339</v>
      </c>
      <c r="M193" s="44">
        <f t="shared" si="104"/>
        <v>4.0793422060103701</v>
      </c>
      <c r="N193" s="44">
        <f t="shared" si="104"/>
        <v>4.1237680473602172</v>
      </c>
      <c r="O193" s="44">
        <f t="shared" si="104"/>
        <v>4.1681941483570091</v>
      </c>
      <c r="P193" s="44">
        <f t="shared" si="104"/>
        <v>4.178168115313178</v>
      </c>
      <c r="Q193" s="44">
        <f>SUM(E193:P193)</f>
        <v>46.801872181690975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Q36"/>
  <sheetViews>
    <sheetView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2" customWidth="1"/>
    <col min="2" max="2" width="44" customWidth="1"/>
    <col min="3" max="3" width="12" customWidth="1"/>
    <col min="4" max="4" width="13" customWidth="1"/>
    <col min="5" max="17" width="12.46484375" customWidth="1"/>
  </cols>
  <sheetData>
    <row r="1" spans="2:16" ht="18" x14ac:dyDescent="0.55000000000000004">
      <c r="B1" s="7" t="s">
        <v>486</v>
      </c>
    </row>
    <row r="2" spans="2:16" x14ac:dyDescent="0.45">
      <c r="B2" s="8" t="s">
        <v>487</v>
      </c>
    </row>
    <row r="3" spans="2:16" x14ac:dyDescent="0.45">
      <c r="B3" s="9" t="s">
        <v>488</v>
      </c>
      <c r="C3" s="9"/>
      <c r="D3" s="9"/>
      <c r="E3" s="41" t="s">
        <v>289</v>
      </c>
      <c r="F3" s="41" t="s">
        <v>290</v>
      </c>
      <c r="G3" s="41" t="s">
        <v>291</v>
      </c>
      <c r="H3" s="41" t="s">
        <v>292</v>
      </c>
      <c r="I3" s="41" t="s">
        <v>293</v>
      </c>
      <c r="J3" s="41" t="s">
        <v>294</v>
      </c>
      <c r="K3" s="41" t="s">
        <v>295</v>
      </c>
      <c r="L3" s="41" t="s">
        <v>296</v>
      </c>
      <c r="M3" s="41" t="s">
        <v>297</v>
      </c>
      <c r="N3" s="41" t="s">
        <v>298</v>
      </c>
      <c r="O3" s="41" t="s">
        <v>299</v>
      </c>
      <c r="P3" s="41" t="s">
        <v>300</v>
      </c>
    </row>
    <row r="4" spans="2:16" x14ac:dyDescent="0.45">
      <c r="E4" s="42">
        <v>1</v>
      </c>
      <c r="F4" s="42">
        <v>2</v>
      </c>
      <c r="G4" s="42">
        <v>3</v>
      </c>
      <c r="H4" s="42">
        <v>4</v>
      </c>
      <c r="I4" s="42">
        <v>5</v>
      </c>
      <c r="J4" s="42">
        <v>6</v>
      </c>
      <c r="K4" s="42">
        <v>7</v>
      </c>
      <c r="L4" s="42">
        <v>8</v>
      </c>
      <c r="M4" s="42">
        <v>9</v>
      </c>
      <c r="N4" s="42">
        <v>10</v>
      </c>
      <c r="O4" s="42">
        <v>11</v>
      </c>
      <c r="P4" s="42">
        <v>12</v>
      </c>
    </row>
    <row r="6" spans="2:16" x14ac:dyDescent="0.45">
      <c r="B6" t="s">
        <v>489</v>
      </c>
      <c r="E6" s="36">
        <f>Inputs!$K$52*(1-mAttr)^(E$4-1)</f>
        <v>42</v>
      </c>
      <c r="F6" s="36">
        <f>Inputs!$K$52*(1-mAttr)^(F$4-1)</f>
        <v>41.51</v>
      </c>
      <c r="G6" s="36">
        <f>Inputs!$K$52*(1-mAttr)^(G$4-1)</f>
        <v>41.025716666666661</v>
      </c>
      <c r="H6" s="36">
        <f>Inputs!$K$52*(1-mAttr)^(H$4-1)</f>
        <v>40.547083305555546</v>
      </c>
      <c r="I6" s="36">
        <f>Inputs!$K$52*(1-mAttr)^(I$4-1)</f>
        <v>40.074034000324069</v>
      </c>
      <c r="J6" s="36">
        <f>Inputs!$K$52*(1-mAttr)^(J$4-1)</f>
        <v>39.606503603653621</v>
      </c>
      <c r="K6" s="36">
        <f>Inputs!$K$52*(1-mAttr)^(K$4-1)</f>
        <v>39.144427728277655</v>
      </c>
      <c r="L6" s="36">
        <f>Inputs!$K$52*(1-mAttr)^(L$4-1)</f>
        <v>38.687742738114416</v>
      </c>
      <c r="M6" s="36">
        <f>Inputs!$K$52*(1-mAttr)^(M$4-1)</f>
        <v>38.236385739503078</v>
      </c>
      <c r="N6" s="36">
        <f>Inputs!$K$52*(1-mAttr)^(N$4-1)</f>
        <v>37.790294572542209</v>
      </c>
      <c r="O6" s="36">
        <f>Inputs!$K$52*(1-mAttr)^(O$4-1)</f>
        <v>37.349407802529214</v>
      </c>
      <c r="P6" s="36">
        <f>Inputs!$K$52*(1-mAttr)^(P$4-1)</f>
        <v>36.913664711499706</v>
      </c>
    </row>
    <row r="7" spans="2:16" x14ac:dyDescent="0.45">
      <c r="B7" t="s">
        <v>490</v>
      </c>
      <c r="E7" s="36">
        <f>IF(E$4&gt;=1,Headcount!$E$50*(1-mAttr)^MAX(0,E$4-1-1),0)</f>
        <v>2.4900000000000002</v>
      </c>
      <c r="F7" s="36">
        <f>IF(F$4&gt;=1,Headcount!$E$50*(1-mAttr)^MAX(0,F$4-1-1),0)</f>
        <v>2.4900000000000002</v>
      </c>
      <c r="G7" s="36">
        <f>IF(G$4&gt;=1,Headcount!$E$50*(1-mAttr)^MAX(0,G$4-1-1),0)</f>
        <v>2.46095</v>
      </c>
      <c r="H7" s="36">
        <f>IF(H$4&gt;=1,Headcount!$E$50*(1-mAttr)^MAX(0,H$4-1-1),0)</f>
        <v>2.4322389166666665</v>
      </c>
      <c r="I7" s="36">
        <f>IF(I$4&gt;=1,Headcount!$E$50*(1-mAttr)^MAX(0,I$4-1-1),0)</f>
        <v>2.4038627959722221</v>
      </c>
      <c r="J7" s="36">
        <f>IF(J$4&gt;=1,Headcount!$E$50*(1-mAttr)^MAX(0,J$4-1-1),0)</f>
        <v>2.3758177300192127</v>
      </c>
      <c r="K7" s="36">
        <f>IF(K$4&gt;=1,Headcount!$E$50*(1-mAttr)^MAX(0,K$4-1-1),0)</f>
        <v>2.3480998565023219</v>
      </c>
      <c r="L7" s="36">
        <f>IF(L$4&gt;=1,Headcount!$E$50*(1-mAttr)^MAX(0,L$4-1-1),0)</f>
        <v>2.3207053581764612</v>
      </c>
      <c r="M7" s="36">
        <f>IF(M$4&gt;=1,Headcount!$E$50*(1-mAttr)^MAX(0,M$4-1-1),0)</f>
        <v>2.2936304623310688</v>
      </c>
      <c r="N7" s="36">
        <f>IF(N$4&gt;=1,Headcount!$E$50*(1-mAttr)^MAX(0,N$4-1-1),0)</f>
        <v>2.2668714402705401</v>
      </c>
      <c r="O7" s="36">
        <f>IF(O$4&gt;=1,Headcount!$E$50*(1-mAttr)^MAX(0,O$4-1-1),0)</f>
        <v>2.2404246068007168</v>
      </c>
      <c r="P7" s="36">
        <f>IF(P$4&gt;=1,Headcount!$E$50*(1-mAttr)^MAX(0,P$4-1-1),0)</f>
        <v>2.2142863197213751</v>
      </c>
    </row>
    <row r="8" spans="2:16" x14ac:dyDescent="0.45">
      <c r="B8" t="s">
        <v>491</v>
      </c>
      <c r="E8" s="36">
        <f>IF(E$4&gt;=2,Headcount!$F$50*(1-mAttr)^MAX(0,E$4-2-1),0)</f>
        <v>0</v>
      </c>
      <c r="F8" s="36">
        <f>IF(F$4&gt;=2,Headcount!$F$50*(1-mAttr)^MAX(0,F$4-2-1),0)</f>
        <v>1.49</v>
      </c>
      <c r="G8" s="36">
        <f>IF(G$4&gt;=2,Headcount!$F$50*(1-mAttr)^MAX(0,G$4-2-1),0)</f>
        <v>1.49</v>
      </c>
      <c r="H8" s="36">
        <f>IF(H$4&gt;=2,Headcount!$F$50*(1-mAttr)^MAX(0,H$4-2-1),0)</f>
        <v>1.4726166666666667</v>
      </c>
      <c r="I8" s="36">
        <f>IF(I$4&gt;=2,Headcount!$F$50*(1-mAttr)^MAX(0,I$4-2-1),0)</f>
        <v>1.4554361388888888</v>
      </c>
      <c r="J8" s="36">
        <f>IF(J$4&gt;=2,Headcount!$F$50*(1-mAttr)^MAX(0,J$4-2-1),0)</f>
        <v>1.4384560506018516</v>
      </c>
      <c r="K8" s="36">
        <f>IF(K$4&gt;=2,Headcount!$F$50*(1-mAttr)^MAX(0,K$4-2-1),0)</f>
        <v>1.4216740633448299</v>
      </c>
      <c r="L8" s="36">
        <f>IF(L$4&gt;=2,Headcount!$F$50*(1-mAttr)^MAX(0,L$4-2-1),0)</f>
        <v>1.4050878659391404</v>
      </c>
      <c r="M8" s="36">
        <f>IF(M$4&gt;=2,Headcount!$F$50*(1-mAttr)^MAX(0,M$4-2-1),0)</f>
        <v>1.3886951741698501</v>
      </c>
      <c r="N8" s="36">
        <f>IF(N$4&gt;=2,Headcount!$F$50*(1-mAttr)^MAX(0,N$4-2-1),0)</f>
        <v>1.3724937304712017</v>
      </c>
      <c r="O8" s="36">
        <f>IF(O$4&gt;=2,Headcount!$F$50*(1-mAttr)^MAX(0,O$4-2-1),0)</f>
        <v>1.3564813036157046</v>
      </c>
      <c r="P8" s="36">
        <f>IF(P$4&gt;=2,Headcount!$F$50*(1-mAttr)^MAX(0,P$4-2-1),0)</f>
        <v>1.3406556884068546</v>
      </c>
    </row>
    <row r="9" spans="2:16" x14ac:dyDescent="0.45">
      <c r="B9" t="s">
        <v>492</v>
      </c>
      <c r="E9" s="36">
        <f>IF(E$4&gt;=3,Headcount!$G$50*(1-mAttr)^MAX(0,E$4-3-1),0)</f>
        <v>0</v>
      </c>
      <c r="F9" s="36">
        <f>IF(F$4&gt;=3,Headcount!$G$50*(1-mAttr)^MAX(0,F$4-3-1),0)</f>
        <v>0</v>
      </c>
      <c r="G9" s="36">
        <f>IF(G$4&gt;=3,Headcount!$G$50*(1-mAttr)^MAX(0,G$4-3-1),0)</f>
        <v>1.49</v>
      </c>
      <c r="H9" s="36">
        <f>IF(H$4&gt;=3,Headcount!$G$50*(1-mAttr)^MAX(0,H$4-3-1),0)</f>
        <v>1.49</v>
      </c>
      <c r="I9" s="36">
        <f>IF(I$4&gt;=3,Headcount!$G$50*(1-mAttr)^MAX(0,I$4-3-1),0)</f>
        <v>1.4726166666666667</v>
      </c>
      <c r="J9" s="36">
        <f>IF(J$4&gt;=3,Headcount!$G$50*(1-mAttr)^MAX(0,J$4-3-1),0)</f>
        <v>1.4554361388888888</v>
      </c>
      <c r="K9" s="36">
        <f>IF(K$4&gt;=3,Headcount!$G$50*(1-mAttr)^MAX(0,K$4-3-1),0)</f>
        <v>1.4384560506018516</v>
      </c>
      <c r="L9" s="36">
        <f>IF(L$4&gt;=3,Headcount!$G$50*(1-mAttr)^MAX(0,L$4-3-1),0)</f>
        <v>1.4216740633448299</v>
      </c>
      <c r="M9" s="36">
        <f>IF(M$4&gt;=3,Headcount!$G$50*(1-mAttr)^MAX(0,M$4-3-1),0)</f>
        <v>1.4050878659391404</v>
      </c>
      <c r="N9" s="36">
        <f>IF(N$4&gt;=3,Headcount!$G$50*(1-mAttr)^MAX(0,N$4-3-1),0)</f>
        <v>1.3886951741698501</v>
      </c>
      <c r="O9" s="36">
        <f>IF(O$4&gt;=3,Headcount!$G$50*(1-mAttr)^MAX(0,O$4-3-1),0)</f>
        <v>1.3724937304712017</v>
      </c>
      <c r="P9" s="36">
        <f>IF(P$4&gt;=3,Headcount!$G$50*(1-mAttr)^MAX(0,P$4-3-1),0)</f>
        <v>1.3564813036157046</v>
      </c>
    </row>
    <row r="10" spans="2:16" x14ac:dyDescent="0.45">
      <c r="B10" t="s">
        <v>493</v>
      </c>
      <c r="E10" s="36">
        <f>IF(E$4&gt;=4,Headcount!$H$50*(1-mAttr)^MAX(0,E$4-4-1),0)</f>
        <v>0</v>
      </c>
      <c r="F10" s="36">
        <f>IF(F$4&gt;=4,Headcount!$H$50*(1-mAttr)^MAX(0,F$4-4-1),0)</f>
        <v>0</v>
      </c>
      <c r="G10" s="36">
        <f>IF(G$4&gt;=4,Headcount!$H$50*(1-mAttr)^MAX(0,G$4-4-1),0)</f>
        <v>0</v>
      </c>
      <c r="H10" s="36">
        <f>IF(H$4&gt;=4,Headcount!$H$50*(1-mAttr)^MAX(0,H$4-4-1),0)</f>
        <v>2.4900000000000002</v>
      </c>
      <c r="I10" s="36">
        <f>IF(I$4&gt;=4,Headcount!$H$50*(1-mAttr)^MAX(0,I$4-4-1),0)</f>
        <v>2.4900000000000002</v>
      </c>
      <c r="J10" s="36">
        <f>IF(J$4&gt;=4,Headcount!$H$50*(1-mAttr)^MAX(0,J$4-4-1),0)</f>
        <v>2.46095</v>
      </c>
      <c r="K10" s="36">
        <f>IF(K$4&gt;=4,Headcount!$H$50*(1-mAttr)^MAX(0,K$4-4-1),0)</f>
        <v>2.4322389166666665</v>
      </c>
      <c r="L10" s="36">
        <f>IF(L$4&gt;=4,Headcount!$H$50*(1-mAttr)^MAX(0,L$4-4-1),0)</f>
        <v>2.4038627959722221</v>
      </c>
      <c r="M10" s="36">
        <f>IF(M$4&gt;=4,Headcount!$H$50*(1-mAttr)^MAX(0,M$4-4-1),0)</f>
        <v>2.3758177300192127</v>
      </c>
      <c r="N10" s="36">
        <f>IF(N$4&gt;=4,Headcount!$H$50*(1-mAttr)^MAX(0,N$4-4-1),0)</f>
        <v>2.3480998565023219</v>
      </c>
      <c r="O10" s="36">
        <f>IF(O$4&gt;=4,Headcount!$H$50*(1-mAttr)^MAX(0,O$4-4-1),0)</f>
        <v>2.3207053581764612</v>
      </c>
      <c r="P10" s="36">
        <f>IF(P$4&gt;=4,Headcount!$H$50*(1-mAttr)^MAX(0,P$4-4-1),0)</f>
        <v>2.2936304623310688</v>
      </c>
    </row>
    <row r="11" spans="2:16" x14ac:dyDescent="0.45">
      <c r="B11" t="s">
        <v>494</v>
      </c>
      <c r="E11" s="36">
        <f>IF(E$4&gt;=5,Headcount!$I$50*(1-mAttr)^MAX(0,E$4-5-1),0)</f>
        <v>0</v>
      </c>
      <c r="F11" s="36">
        <f>IF(F$4&gt;=5,Headcount!$I$50*(1-mAttr)^MAX(0,F$4-5-1),0)</f>
        <v>0</v>
      </c>
      <c r="G11" s="36">
        <f>IF(G$4&gt;=5,Headcount!$I$50*(1-mAttr)^MAX(0,G$4-5-1),0)</f>
        <v>0</v>
      </c>
      <c r="H11" s="36">
        <f>IF(H$4&gt;=5,Headcount!$I$50*(1-mAttr)^MAX(0,H$4-5-1),0)</f>
        <v>0</v>
      </c>
      <c r="I11" s="36">
        <f>IF(I$4&gt;=5,Headcount!$I$50*(1-mAttr)^MAX(0,I$4-5-1),0)</f>
        <v>1.5133333333333332</v>
      </c>
      <c r="J11" s="36">
        <f>IF(J$4&gt;=5,Headcount!$I$50*(1-mAttr)^MAX(0,J$4-5-1),0)</f>
        <v>1.5133333333333332</v>
      </c>
      <c r="K11" s="36">
        <f>IF(K$4&gt;=5,Headcount!$I$50*(1-mAttr)^MAX(0,K$4-5-1),0)</f>
        <v>1.4956777777777777</v>
      </c>
      <c r="L11" s="36">
        <f>IF(L$4&gt;=5,Headcount!$I$50*(1-mAttr)^MAX(0,L$4-5-1),0)</f>
        <v>1.4782282037037033</v>
      </c>
      <c r="M11" s="36">
        <f>IF(M$4&gt;=5,Headcount!$I$50*(1-mAttr)^MAX(0,M$4-5-1),0)</f>
        <v>1.4609822079938268</v>
      </c>
      <c r="N11" s="36">
        <f>IF(N$4&gt;=5,Headcount!$I$50*(1-mAttr)^MAX(0,N$4-5-1),0)</f>
        <v>1.4439374155672322</v>
      </c>
      <c r="O11" s="36">
        <f>IF(O$4&gt;=5,Headcount!$I$50*(1-mAttr)^MAX(0,O$4-5-1),0)</f>
        <v>1.4270914790522811</v>
      </c>
      <c r="P11" s="36">
        <f>IF(P$4&gt;=5,Headcount!$I$50*(1-mAttr)^MAX(0,P$4-5-1),0)</f>
        <v>1.4104420784633376</v>
      </c>
    </row>
    <row r="12" spans="2:16" x14ac:dyDescent="0.45">
      <c r="B12" t="s">
        <v>495</v>
      </c>
      <c r="E12" s="36">
        <f>IF(E$4&gt;=6,Headcount!$J$50*(1-mAttr)^MAX(0,E$4-6-1),0)</f>
        <v>0</v>
      </c>
      <c r="F12" s="36">
        <f>IF(F$4&gt;=6,Headcount!$J$50*(1-mAttr)^MAX(0,F$4-6-1),0)</f>
        <v>0</v>
      </c>
      <c r="G12" s="36">
        <f>IF(G$4&gt;=6,Headcount!$J$50*(1-mAttr)^MAX(0,G$4-6-1),0)</f>
        <v>0</v>
      </c>
      <c r="H12" s="36">
        <f>IF(H$4&gt;=6,Headcount!$J$50*(1-mAttr)^MAX(0,H$4-6-1),0)</f>
        <v>0</v>
      </c>
      <c r="I12" s="36">
        <f>IF(I$4&gt;=6,Headcount!$J$50*(1-mAttr)^MAX(0,I$4-6-1),0)</f>
        <v>0</v>
      </c>
      <c r="J12" s="36">
        <f>IF(J$4&gt;=6,Headcount!$J$50*(1-mAttr)^MAX(0,J$4-6-1),0)</f>
        <v>1.5247277777777777</v>
      </c>
      <c r="K12" s="36">
        <f>IF(K$4&gt;=6,Headcount!$J$50*(1-mAttr)^MAX(0,K$4-6-1),0)</f>
        <v>1.5247277777777777</v>
      </c>
      <c r="L12" s="36">
        <f>IF(L$4&gt;=6,Headcount!$J$50*(1-mAttr)^MAX(0,L$4-6-1),0)</f>
        <v>1.5069392870370368</v>
      </c>
      <c r="M12" s="36">
        <f>IF(M$4&gt;=6,Headcount!$J$50*(1-mAttr)^MAX(0,M$4-6-1),0)</f>
        <v>1.4893583286882714</v>
      </c>
      <c r="N12" s="36">
        <f>IF(N$4&gt;=6,Headcount!$J$50*(1-mAttr)^MAX(0,N$4-6-1),0)</f>
        <v>1.4719824815202414</v>
      </c>
      <c r="O12" s="36">
        <f>IF(O$4&gt;=6,Headcount!$J$50*(1-mAttr)^MAX(0,O$4-6-1),0)</f>
        <v>1.4548093525691719</v>
      </c>
      <c r="P12" s="36">
        <f>IF(P$4&gt;=6,Headcount!$J$50*(1-mAttr)^MAX(0,P$4-6-1),0)</f>
        <v>1.4378365767891983</v>
      </c>
    </row>
    <row r="13" spans="2:16" x14ac:dyDescent="0.45">
      <c r="B13" t="s">
        <v>496</v>
      </c>
      <c r="E13" s="36">
        <f>IF(E$4&gt;=7,Headcount!$K$50*(1-mAttr)^MAX(0,E$4-7-1),0)</f>
        <v>0</v>
      </c>
      <c r="F13" s="36">
        <f>IF(F$4&gt;=7,Headcount!$K$50*(1-mAttr)^MAX(0,F$4-7-1),0)</f>
        <v>0</v>
      </c>
      <c r="G13" s="36">
        <f>IF(G$4&gt;=7,Headcount!$K$50*(1-mAttr)^MAX(0,G$4-7-1),0)</f>
        <v>0</v>
      </c>
      <c r="H13" s="36">
        <f>IF(H$4&gt;=7,Headcount!$K$50*(1-mAttr)^MAX(0,H$4-7-1),0)</f>
        <v>0</v>
      </c>
      <c r="I13" s="36">
        <f>IF(I$4&gt;=7,Headcount!$K$50*(1-mAttr)^MAX(0,I$4-7-1),0)</f>
        <v>0</v>
      </c>
      <c r="J13" s="36">
        <f>IF(J$4&gt;=7,Headcount!$K$50*(1-mAttr)^MAX(0,J$4-7-1),0)</f>
        <v>0</v>
      </c>
      <c r="K13" s="36">
        <f>IF(K$4&gt;=7,Headcount!$K$50*(1-mAttr)^MAX(0,K$4-7-1),0)</f>
        <v>1.5359892870370371</v>
      </c>
      <c r="L13" s="36">
        <f>IF(L$4&gt;=7,Headcount!$K$50*(1-mAttr)^MAX(0,L$4-7-1),0)</f>
        <v>1.5359892870370371</v>
      </c>
      <c r="M13" s="36">
        <f>IF(M$4&gt;=7,Headcount!$K$50*(1-mAttr)^MAX(0,M$4-7-1),0)</f>
        <v>1.5180694120216049</v>
      </c>
      <c r="N13" s="36">
        <f>IF(N$4&gt;=7,Headcount!$K$50*(1-mAttr)^MAX(0,N$4-7-1),0)</f>
        <v>1.5003586022146862</v>
      </c>
      <c r="O13" s="36">
        <f>IF(O$4&gt;=7,Headcount!$K$50*(1-mAttr)^MAX(0,O$4-7-1),0)</f>
        <v>1.4828544185221813</v>
      </c>
      <c r="P13" s="36">
        <f>IF(P$4&gt;=7,Headcount!$K$50*(1-mAttr)^MAX(0,P$4-7-1),0)</f>
        <v>1.4655544503060891</v>
      </c>
    </row>
    <row r="14" spans="2:16" x14ac:dyDescent="0.45">
      <c r="B14" t="s">
        <v>497</v>
      </c>
      <c r="E14" s="36">
        <f>IF(E$4&gt;=8,Headcount!$L$50*(1-mAttr)^MAX(0,E$4-8-1),0)</f>
        <v>0</v>
      </c>
      <c r="F14" s="36">
        <f>IF(F$4&gt;=8,Headcount!$L$50*(1-mAttr)^MAX(0,F$4-8-1),0)</f>
        <v>0</v>
      </c>
      <c r="G14" s="36">
        <f>IF(G$4&gt;=8,Headcount!$L$50*(1-mAttr)^MAX(0,G$4-8-1),0)</f>
        <v>0</v>
      </c>
      <c r="H14" s="36">
        <f>IF(H$4&gt;=8,Headcount!$L$50*(1-mAttr)^MAX(0,H$4-8-1),0)</f>
        <v>0</v>
      </c>
      <c r="I14" s="36">
        <f>IF(I$4&gt;=8,Headcount!$L$50*(1-mAttr)^MAX(0,I$4-8-1),0)</f>
        <v>0</v>
      </c>
      <c r="J14" s="36">
        <f>IF(J$4&gt;=8,Headcount!$L$50*(1-mAttr)^MAX(0,J$4-8-1),0)</f>
        <v>0</v>
      </c>
      <c r="K14" s="36">
        <f>IF(K$4&gt;=8,Headcount!$L$50*(1-mAttr)^MAX(0,K$4-8-1),0)</f>
        <v>0</v>
      </c>
      <c r="L14" s="36">
        <f>IF(L$4&gt;=8,Headcount!$L$50*(1-mAttr)^MAX(0,L$4-8-1),0)</f>
        <v>1.5587860786882717</v>
      </c>
      <c r="M14" s="36">
        <f>IF(M$4&gt;=8,Headcount!$L$50*(1-mAttr)^MAX(0,M$4-8-1),0)</f>
        <v>1.5587860786882717</v>
      </c>
      <c r="N14" s="36">
        <f>IF(N$4&gt;=8,Headcount!$L$50*(1-mAttr)^MAX(0,N$4-8-1),0)</f>
        <v>1.5406002411035751</v>
      </c>
      <c r="O14" s="36">
        <f>IF(O$4&gt;=8,Headcount!$L$50*(1-mAttr)^MAX(0,O$4-8-1),0)</f>
        <v>1.5226265716240333</v>
      </c>
      <c r="P14" s="36">
        <f>IF(P$4&gt;=8,Headcount!$L$50*(1-mAttr)^MAX(0,P$4-8-1),0)</f>
        <v>1.5048625949550862</v>
      </c>
    </row>
    <row r="15" spans="2:16" x14ac:dyDescent="0.45">
      <c r="B15" t="s">
        <v>498</v>
      </c>
      <c r="E15" s="36">
        <f>IF(E$4&gt;=9,Headcount!$M$50*(1-mAttr)^MAX(0,E$4-9-1),0)</f>
        <v>0</v>
      </c>
      <c r="F15" s="36">
        <f>IF(F$4&gt;=9,Headcount!$M$50*(1-mAttr)^MAX(0,F$4-9-1),0)</f>
        <v>0</v>
      </c>
      <c r="G15" s="36">
        <f>IF(G$4&gt;=9,Headcount!$M$50*(1-mAttr)^MAX(0,G$4-9-1),0)</f>
        <v>0</v>
      </c>
      <c r="H15" s="36">
        <f>IF(H$4&gt;=9,Headcount!$M$50*(1-mAttr)^MAX(0,H$4-9-1),0)</f>
        <v>0</v>
      </c>
      <c r="I15" s="36">
        <f>IF(I$4&gt;=9,Headcount!$M$50*(1-mAttr)^MAX(0,I$4-9-1),0)</f>
        <v>0</v>
      </c>
      <c r="J15" s="36">
        <f>IF(J$4&gt;=9,Headcount!$M$50*(1-mAttr)^MAX(0,J$4-9-1),0)</f>
        <v>0</v>
      </c>
      <c r="K15" s="36">
        <f>IF(K$4&gt;=9,Headcount!$M$50*(1-mAttr)^MAX(0,K$4-9-1),0)</f>
        <v>0</v>
      </c>
      <c r="L15" s="36">
        <f>IF(L$4&gt;=9,Headcount!$M$50*(1-mAttr)^MAX(0,L$4-9-1),0)</f>
        <v>0</v>
      </c>
      <c r="M15" s="36">
        <f>IF(M$4&gt;=9,Headcount!$M$50*(1-mAttr)^MAX(0,M$4-9-1),0)</f>
        <v>1.5699224633257973</v>
      </c>
      <c r="N15" s="36">
        <f>IF(N$4&gt;=9,Headcount!$M$50*(1-mAttr)^MAX(0,N$4-9-1),0)</f>
        <v>1.5699224633257973</v>
      </c>
      <c r="O15" s="36">
        <f>IF(O$4&gt;=9,Headcount!$M$50*(1-mAttr)^MAX(0,O$4-9-1),0)</f>
        <v>1.551606701253663</v>
      </c>
      <c r="P15" s="36">
        <f>IF(P$4&gt;=9,Headcount!$M$50*(1-mAttr)^MAX(0,P$4-9-1),0)</f>
        <v>1.5335046230723701</v>
      </c>
    </row>
    <row r="16" spans="2:16" x14ac:dyDescent="0.45">
      <c r="B16" t="s">
        <v>499</v>
      </c>
      <c r="E16" s="36">
        <f>IF(E$4&gt;=10,Headcount!$N$50*(1-mAttr)^MAX(0,E$4-10-1),0)</f>
        <v>0</v>
      </c>
      <c r="F16" s="36">
        <f>IF(F$4&gt;=10,Headcount!$N$50*(1-mAttr)^MAX(0,F$4-10-1),0)</f>
        <v>0</v>
      </c>
      <c r="G16" s="36">
        <f>IF(G$4&gt;=10,Headcount!$N$50*(1-mAttr)^MAX(0,G$4-10-1),0)</f>
        <v>0</v>
      </c>
      <c r="H16" s="36">
        <f>IF(H$4&gt;=10,Headcount!$N$50*(1-mAttr)^MAX(0,H$4-10-1),0)</f>
        <v>0</v>
      </c>
      <c r="I16" s="36">
        <f>IF(I$4&gt;=10,Headcount!$N$50*(1-mAttr)^MAX(0,I$4-10-1),0)</f>
        <v>0</v>
      </c>
      <c r="J16" s="36">
        <f>IF(J$4&gt;=10,Headcount!$N$50*(1-mAttr)^MAX(0,J$4-10-1),0)</f>
        <v>0</v>
      </c>
      <c r="K16" s="36">
        <f>IF(K$4&gt;=10,Headcount!$N$50*(1-mAttr)^MAX(0,K$4-10-1),0)</f>
        <v>0</v>
      </c>
      <c r="L16" s="36">
        <f>IF(L$4&gt;=10,Headcount!$N$50*(1-mAttr)^MAX(0,L$4-10-1),0)</f>
        <v>0</v>
      </c>
      <c r="M16" s="36">
        <f>IF(M$4&gt;=10,Headcount!$N$50*(1-mAttr)^MAX(0,M$4-10-1),0)</f>
        <v>0</v>
      </c>
      <c r="N16" s="36">
        <f>IF(N$4&gt;=10,Headcount!$N$50*(1-mAttr)^MAX(0,N$4-10-1),0)</f>
        <v>1.5810618586610705</v>
      </c>
      <c r="O16" s="36">
        <f>IF(O$4&gt;=10,Headcount!$N$50*(1-mAttr)^MAX(0,O$4-10-1),0)</f>
        <v>1.5810618586610705</v>
      </c>
      <c r="P16" s="36">
        <f>IF(P$4&gt;=10,Headcount!$N$50*(1-mAttr)^MAX(0,P$4-10-1),0)</f>
        <v>1.5626161369766913</v>
      </c>
    </row>
    <row r="17" spans="2:16" x14ac:dyDescent="0.45">
      <c r="B17" t="s">
        <v>500</v>
      </c>
      <c r="E17" s="36">
        <f>IF(E$4&gt;=11,Headcount!$O$50*(1-mAttr)^MAX(0,E$4-11-1),0)</f>
        <v>0</v>
      </c>
      <c r="F17" s="36">
        <f>IF(F$4&gt;=11,Headcount!$O$50*(1-mAttr)^MAX(0,F$4-11-1),0)</f>
        <v>0</v>
      </c>
      <c r="G17" s="36">
        <f>IF(G$4&gt;=11,Headcount!$O$50*(1-mAttr)^MAX(0,G$4-11-1),0)</f>
        <v>0</v>
      </c>
      <c r="H17" s="36">
        <f>IF(H$4&gt;=11,Headcount!$O$50*(1-mAttr)^MAX(0,H$4-11-1),0)</f>
        <v>0</v>
      </c>
      <c r="I17" s="36">
        <f>IF(I$4&gt;=11,Headcount!$O$50*(1-mAttr)^MAX(0,I$4-11-1),0)</f>
        <v>0</v>
      </c>
      <c r="J17" s="36">
        <f>IF(J$4&gt;=11,Headcount!$O$50*(1-mAttr)^MAX(0,J$4-11-1),0)</f>
        <v>0</v>
      </c>
      <c r="K17" s="36">
        <f>IF(K$4&gt;=11,Headcount!$O$50*(1-mAttr)^MAX(0,K$4-11-1),0)</f>
        <v>0</v>
      </c>
      <c r="L17" s="36">
        <f>IF(L$4&gt;=11,Headcount!$O$50*(1-mAttr)^MAX(0,L$4-11-1),0)</f>
        <v>0</v>
      </c>
      <c r="M17" s="36">
        <f>IF(M$4&gt;=11,Headcount!$O$50*(1-mAttr)^MAX(0,M$4-11-1),0)</f>
        <v>0</v>
      </c>
      <c r="N17" s="36">
        <f>IF(N$4&gt;=11,Headcount!$O$50*(1-mAttr)^MAX(0,N$4-11-1),0)</f>
        <v>0</v>
      </c>
      <c r="O17" s="36">
        <f>IF(O$4&gt;=11,Headcount!$O$50*(1-mAttr)^MAX(0,O$4-11-1),0)</f>
        <v>0.59220267865879017</v>
      </c>
      <c r="P17" s="36">
        <f>IF(P$4&gt;=11,Headcount!$O$50*(1-mAttr)^MAX(0,P$4-11-1),0)</f>
        <v>0.59220267865879017</v>
      </c>
    </row>
    <row r="18" spans="2:16" x14ac:dyDescent="0.45">
      <c r="B18" t="s">
        <v>501</v>
      </c>
      <c r="E18" s="36">
        <f>IF(E$4&gt;=12,Headcount!$P$50*(1-mAttr)^MAX(0,E$4-12-1),0)</f>
        <v>0</v>
      </c>
      <c r="F18" s="36">
        <f>IF(F$4&gt;=12,Headcount!$P$50*(1-mAttr)^MAX(0,F$4-12-1),0)</f>
        <v>0</v>
      </c>
      <c r="G18" s="36">
        <f>IF(G$4&gt;=12,Headcount!$P$50*(1-mAttr)^MAX(0,G$4-12-1),0)</f>
        <v>0</v>
      </c>
      <c r="H18" s="36">
        <f>IF(H$4&gt;=12,Headcount!$P$50*(1-mAttr)^MAX(0,H$4-12-1),0)</f>
        <v>0</v>
      </c>
      <c r="I18" s="36">
        <f>IF(I$4&gt;=12,Headcount!$P$50*(1-mAttr)^MAX(0,I$4-12-1),0)</f>
        <v>0</v>
      </c>
      <c r="J18" s="36">
        <f>IF(J$4&gt;=12,Headcount!$P$50*(1-mAttr)^MAX(0,J$4-12-1),0)</f>
        <v>0</v>
      </c>
      <c r="K18" s="36">
        <f>IF(K$4&gt;=12,Headcount!$P$50*(1-mAttr)^MAX(0,K$4-12-1),0)</f>
        <v>0</v>
      </c>
      <c r="L18" s="36">
        <f>IF(L$4&gt;=12,Headcount!$P$50*(1-mAttr)^MAX(0,L$4-12-1),0)</f>
        <v>0</v>
      </c>
      <c r="M18" s="36">
        <f>IF(M$4&gt;=12,Headcount!$P$50*(1-mAttr)^MAX(0,M$4-12-1),0)</f>
        <v>0</v>
      </c>
      <c r="N18" s="36">
        <f>IF(N$4&gt;=12,Headcount!$P$50*(1-mAttr)^MAX(0,N$4-12-1),0)</f>
        <v>0</v>
      </c>
      <c r="O18" s="36">
        <f>IF(O$4&gt;=12,Headcount!$P$50*(1-mAttr)^MAX(0,O$4-12-1),0)</f>
        <v>0</v>
      </c>
      <c r="P18" s="36">
        <f>IF(P$4&gt;=12,Headcount!$P$50*(1-mAttr)^MAX(0,P$4-12-1),0)</f>
        <v>0.6034794849924674</v>
      </c>
    </row>
    <row r="19" spans="2:16" x14ac:dyDescent="0.45">
      <c r="B19" s="4" t="s">
        <v>502</v>
      </c>
      <c r="E19" s="44">
        <f t="shared" ref="E19:P19" si="0">SUM(E6:E18)</f>
        <v>44.49</v>
      </c>
      <c r="F19" s="44">
        <f t="shared" si="0"/>
        <v>45.49</v>
      </c>
      <c r="G19" s="44">
        <f t="shared" si="0"/>
        <v>46.466666666666661</v>
      </c>
      <c r="H19" s="44">
        <f t="shared" si="0"/>
        <v>48.431938888888887</v>
      </c>
      <c r="I19" s="44">
        <f t="shared" si="0"/>
        <v>49.409282935185189</v>
      </c>
      <c r="J19" s="44">
        <f t="shared" si="0"/>
        <v>50.375224634274687</v>
      </c>
      <c r="K19" s="44">
        <f t="shared" si="0"/>
        <v>51.341291457985925</v>
      </c>
      <c r="L19" s="44">
        <f t="shared" si="0"/>
        <v>52.319015678013116</v>
      </c>
      <c r="M19" s="44">
        <f t="shared" si="0"/>
        <v>53.296735462680111</v>
      </c>
      <c r="N19" s="44">
        <f t="shared" si="0"/>
        <v>54.274317836348729</v>
      </c>
      <c r="O19" s="44">
        <f t="shared" si="0"/>
        <v>54.25176586193448</v>
      </c>
      <c r="P19" s="44">
        <f t="shared" si="0"/>
        <v>54.229217109788735</v>
      </c>
    </row>
    <row r="21" spans="2:16" x14ac:dyDescent="0.45">
      <c r="B21" s="4" t="s">
        <v>503</v>
      </c>
    </row>
    <row r="22" spans="2:16" x14ac:dyDescent="0.45">
      <c r="B22" t="s">
        <v>489</v>
      </c>
      <c r="E22" s="36">
        <f t="shared" ref="E22:P22" si="1">E6</f>
        <v>42</v>
      </c>
      <c r="F22" s="36">
        <f t="shared" si="1"/>
        <v>41.51</v>
      </c>
      <c r="G22" s="36">
        <f t="shared" si="1"/>
        <v>41.025716666666661</v>
      </c>
      <c r="H22" s="36">
        <f t="shared" si="1"/>
        <v>40.547083305555546</v>
      </c>
      <c r="I22" s="36">
        <f t="shared" si="1"/>
        <v>40.074034000324069</v>
      </c>
      <c r="J22" s="36">
        <f t="shared" si="1"/>
        <v>39.606503603653621</v>
      </c>
      <c r="K22" s="36">
        <f t="shared" si="1"/>
        <v>39.144427728277655</v>
      </c>
      <c r="L22" s="36">
        <f t="shared" si="1"/>
        <v>38.687742738114416</v>
      </c>
      <c r="M22" s="36">
        <f t="shared" si="1"/>
        <v>38.236385739503078</v>
      </c>
      <c r="N22" s="36">
        <f t="shared" si="1"/>
        <v>37.790294572542209</v>
      </c>
      <c r="O22" s="36">
        <f t="shared" si="1"/>
        <v>37.349407802529214</v>
      </c>
      <c r="P22" s="36">
        <f t="shared" si="1"/>
        <v>36.913664711499706</v>
      </c>
    </row>
    <row r="23" spans="2:16" x14ac:dyDescent="0.45">
      <c r="B23" t="s">
        <v>490</v>
      </c>
      <c r="E23" s="36">
        <f t="shared" ref="E23:P23" si="2">E7*MIN(1,MAX(0,E$4-1)/x_rampMonths)</f>
        <v>0</v>
      </c>
      <c r="F23" s="36">
        <f t="shared" si="2"/>
        <v>0.41500000000000004</v>
      </c>
      <c r="G23" s="36">
        <f t="shared" si="2"/>
        <v>0.82031666666666658</v>
      </c>
      <c r="H23" s="36">
        <f t="shared" si="2"/>
        <v>1.2161194583333332</v>
      </c>
      <c r="I23" s="36">
        <f t="shared" si="2"/>
        <v>1.6025751973148146</v>
      </c>
      <c r="J23" s="36">
        <f t="shared" si="2"/>
        <v>1.979848108349344</v>
      </c>
      <c r="K23" s="36">
        <f t="shared" si="2"/>
        <v>2.3480998565023219</v>
      </c>
      <c r="L23" s="36">
        <f t="shared" si="2"/>
        <v>2.3207053581764612</v>
      </c>
      <c r="M23" s="36">
        <f t="shared" si="2"/>
        <v>2.2936304623310688</v>
      </c>
      <c r="N23" s="36">
        <f t="shared" si="2"/>
        <v>2.2668714402705401</v>
      </c>
      <c r="O23" s="36">
        <f t="shared" si="2"/>
        <v>2.2404246068007168</v>
      </c>
      <c r="P23" s="36">
        <f t="shared" si="2"/>
        <v>2.2142863197213751</v>
      </c>
    </row>
    <row r="24" spans="2:16" x14ac:dyDescent="0.45">
      <c r="B24" t="s">
        <v>491</v>
      </c>
      <c r="E24" s="36">
        <f t="shared" ref="E24:P24" si="3">E8*MIN(1,MAX(0,E$4-2)/x_rampMonths)</f>
        <v>0</v>
      </c>
      <c r="F24" s="36">
        <f t="shared" si="3"/>
        <v>0</v>
      </c>
      <c r="G24" s="36">
        <f t="shared" si="3"/>
        <v>0.24833333333333332</v>
      </c>
      <c r="H24" s="36">
        <f t="shared" si="3"/>
        <v>0.49087222222222221</v>
      </c>
      <c r="I24" s="36">
        <f t="shared" si="3"/>
        <v>0.72771806944444439</v>
      </c>
      <c r="J24" s="36">
        <f t="shared" si="3"/>
        <v>0.95897070040123433</v>
      </c>
      <c r="K24" s="36">
        <f t="shared" si="3"/>
        <v>1.1847283861206916</v>
      </c>
      <c r="L24" s="36">
        <f t="shared" si="3"/>
        <v>1.4050878659391404</v>
      </c>
      <c r="M24" s="36">
        <f t="shared" si="3"/>
        <v>1.3886951741698501</v>
      </c>
      <c r="N24" s="36">
        <f t="shared" si="3"/>
        <v>1.3724937304712017</v>
      </c>
      <c r="O24" s="36">
        <f t="shared" si="3"/>
        <v>1.3564813036157046</v>
      </c>
      <c r="P24" s="36">
        <f t="shared" si="3"/>
        <v>1.3406556884068546</v>
      </c>
    </row>
    <row r="25" spans="2:16" x14ac:dyDescent="0.45">
      <c r="B25" t="s">
        <v>492</v>
      </c>
      <c r="E25" s="36">
        <f t="shared" ref="E25:P25" si="4">E9*MIN(1,MAX(0,E$4-3)/x_rampMonths)</f>
        <v>0</v>
      </c>
      <c r="F25" s="36">
        <f t="shared" si="4"/>
        <v>0</v>
      </c>
      <c r="G25" s="36">
        <f t="shared" si="4"/>
        <v>0</v>
      </c>
      <c r="H25" s="36">
        <f t="shared" si="4"/>
        <v>0.24833333333333332</v>
      </c>
      <c r="I25" s="36">
        <f t="shared" si="4"/>
        <v>0.49087222222222221</v>
      </c>
      <c r="J25" s="36">
        <f t="shared" si="4"/>
        <v>0.72771806944444439</v>
      </c>
      <c r="K25" s="36">
        <f t="shared" si="4"/>
        <v>0.95897070040123433</v>
      </c>
      <c r="L25" s="36">
        <f t="shared" si="4"/>
        <v>1.1847283861206916</v>
      </c>
      <c r="M25" s="36">
        <f t="shared" si="4"/>
        <v>1.4050878659391404</v>
      </c>
      <c r="N25" s="36">
        <f t="shared" si="4"/>
        <v>1.3886951741698501</v>
      </c>
      <c r="O25" s="36">
        <f t="shared" si="4"/>
        <v>1.3724937304712017</v>
      </c>
      <c r="P25" s="36">
        <f t="shared" si="4"/>
        <v>1.3564813036157046</v>
      </c>
    </row>
    <row r="26" spans="2:16" x14ac:dyDescent="0.45">
      <c r="B26" t="s">
        <v>493</v>
      </c>
      <c r="E26" s="36">
        <f t="shared" ref="E26:P26" si="5">E10*MIN(1,MAX(0,E$4-4)/x_rampMonths)</f>
        <v>0</v>
      </c>
      <c r="F26" s="36">
        <f t="shared" si="5"/>
        <v>0</v>
      </c>
      <c r="G26" s="36">
        <f t="shared" si="5"/>
        <v>0</v>
      </c>
      <c r="H26" s="36">
        <f t="shared" si="5"/>
        <v>0</v>
      </c>
      <c r="I26" s="36">
        <f t="shared" si="5"/>
        <v>0.41500000000000004</v>
      </c>
      <c r="J26" s="36">
        <f t="shared" si="5"/>
        <v>0.82031666666666658</v>
      </c>
      <c r="K26" s="36">
        <f t="shared" si="5"/>
        <v>1.2161194583333332</v>
      </c>
      <c r="L26" s="36">
        <f t="shared" si="5"/>
        <v>1.6025751973148146</v>
      </c>
      <c r="M26" s="36">
        <f t="shared" si="5"/>
        <v>1.979848108349344</v>
      </c>
      <c r="N26" s="36">
        <f t="shared" si="5"/>
        <v>2.3480998565023219</v>
      </c>
      <c r="O26" s="36">
        <f t="shared" si="5"/>
        <v>2.3207053581764612</v>
      </c>
      <c r="P26" s="36">
        <f t="shared" si="5"/>
        <v>2.2936304623310688</v>
      </c>
    </row>
    <row r="27" spans="2:16" x14ac:dyDescent="0.45">
      <c r="B27" t="s">
        <v>494</v>
      </c>
      <c r="E27" s="36">
        <f t="shared" ref="E27:P27" si="6">E11*MIN(1,MAX(0,E$4-5)/x_rampMonths)</f>
        <v>0</v>
      </c>
      <c r="F27" s="36">
        <f t="shared" si="6"/>
        <v>0</v>
      </c>
      <c r="G27" s="36">
        <f t="shared" si="6"/>
        <v>0</v>
      </c>
      <c r="H27" s="36">
        <f t="shared" si="6"/>
        <v>0</v>
      </c>
      <c r="I27" s="36">
        <f t="shared" si="6"/>
        <v>0</v>
      </c>
      <c r="J27" s="36">
        <f t="shared" si="6"/>
        <v>0.25222222222222218</v>
      </c>
      <c r="K27" s="36">
        <f t="shared" si="6"/>
        <v>0.4985592592592592</v>
      </c>
      <c r="L27" s="36">
        <f t="shared" si="6"/>
        <v>0.73911410185185167</v>
      </c>
      <c r="M27" s="36">
        <f t="shared" si="6"/>
        <v>0.97398813866255118</v>
      </c>
      <c r="N27" s="36">
        <f t="shared" si="6"/>
        <v>1.2032811796393603</v>
      </c>
      <c r="O27" s="36">
        <f t="shared" si="6"/>
        <v>1.4270914790522811</v>
      </c>
      <c r="P27" s="36">
        <f t="shared" si="6"/>
        <v>1.4104420784633376</v>
      </c>
    </row>
    <row r="28" spans="2:16" x14ac:dyDescent="0.45">
      <c r="B28" t="s">
        <v>495</v>
      </c>
      <c r="E28" s="36">
        <f t="shared" ref="E28:P28" si="7">E12*MIN(1,MAX(0,E$4-6)/x_rampMonths)</f>
        <v>0</v>
      </c>
      <c r="F28" s="36">
        <f t="shared" si="7"/>
        <v>0</v>
      </c>
      <c r="G28" s="36">
        <f t="shared" si="7"/>
        <v>0</v>
      </c>
      <c r="H28" s="36">
        <f t="shared" si="7"/>
        <v>0</v>
      </c>
      <c r="I28" s="36">
        <f t="shared" si="7"/>
        <v>0</v>
      </c>
      <c r="J28" s="36">
        <f t="shared" si="7"/>
        <v>0</v>
      </c>
      <c r="K28" s="36">
        <f t="shared" si="7"/>
        <v>0.25412129629629626</v>
      </c>
      <c r="L28" s="36">
        <f t="shared" si="7"/>
        <v>0.50231309567901228</v>
      </c>
      <c r="M28" s="36">
        <f t="shared" si="7"/>
        <v>0.74467916434413572</v>
      </c>
      <c r="N28" s="36">
        <f t="shared" si="7"/>
        <v>0.9813216543468275</v>
      </c>
      <c r="O28" s="36">
        <f t="shared" si="7"/>
        <v>1.2123411271409765</v>
      </c>
      <c r="P28" s="36">
        <f t="shared" si="7"/>
        <v>1.4378365767891983</v>
      </c>
    </row>
    <row r="29" spans="2:16" x14ac:dyDescent="0.45">
      <c r="B29" t="s">
        <v>496</v>
      </c>
      <c r="E29" s="36">
        <f t="shared" ref="E29:P29" si="8">E13*MIN(1,MAX(0,E$4-7)/x_rampMonths)</f>
        <v>0</v>
      </c>
      <c r="F29" s="36">
        <f t="shared" si="8"/>
        <v>0</v>
      </c>
      <c r="G29" s="36">
        <f t="shared" si="8"/>
        <v>0</v>
      </c>
      <c r="H29" s="36">
        <f t="shared" si="8"/>
        <v>0</v>
      </c>
      <c r="I29" s="36">
        <f t="shared" si="8"/>
        <v>0</v>
      </c>
      <c r="J29" s="36">
        <f t="shared" si="8"/>
        <v>0</v>
      </c>
      <c r="K29" s="36">
        <f t="shared" si="8"/>
        <v>0</v>
      </c>
      <c r="L29" s="36">
        <f t="shared" si="8"/>
        <v>0.25599821450617283</v>
      </c>
      <c r="M29" s="36">
        <f t="shared" si="8"/>
        <v>0.50602313734053495</v>
      </c>
      <c r="N29" s="36">
        <f t="shared" si="8"/>
        <v>0.7501793011073431</v>
      </c>
      <c r="O29" s="36">
        <f t="shared" si="8"/>
        <v>0.9885696123481208</v>
      </c>
      <c r="P29" s="36">
        <f t="shared" si="8"/>
        <v>1.2212953752550744</v>
      </c>
    </row>
    <row r="30" spans="2:16" x14ac:dyDescent="0.45">
      <c r="B30" t="s">
        <v>497</v>
      </c>
      <c r="E30" s="36">
        <f t="shared" ref="E30:P30" si="9">E14*MIN(1,MAX(0,E$4-8)/x_rampMonths)</f>
        <v>0</v>
      </c>
      <c r="F30" s="36">
        <f t="shared" si="9"/>
        <v>0</v>
      </c>
      <c r="G30" s="36">
        <f t="shared" si="9"/>
        <v>0</v>
      </c>
      <c r="H30" s="36">
        <f t="shared" si="9"/>
        <v>0</v>
      </c>
      <c r="I30" s="36">
        <f t="shared" si="9"/>
        <v>0</v>
      </c>
      <c r="J30" s="36">
        <f t="shared" si="9"/>
        <v>0</v>
      </c>
      <c r="K30" s="36">
        <f t="shared" si="9"/>
        <v>0</v>
      </c>
      <c r="L30" s="36">
        <f t="shared" si="9"/>
        <v>0</v>
      </c>
      <c r="M30" s="36">
        <f t="shared" si="9"/>
        <v>0.25979767978137858</v>
      </c>
      <c r="N30" s="36">
        <f t="shared" si="9"/>
        <v>0.51353341370119165</v>
      </c>
      <c r="O30" s="36">
        <f t="shared" si="9"/>
        <v>0.76131328581201663</v>
      </c>
      <c r="P30" s="36">
        <f t="shared" si="9"/>
        <v>1.0032417299700573</v>
      </c>
    </row>
    <row r="31" spans="2:16" x14ac:dyDescent="0.45">
      <c r="B31" t="s">
        <v>498</v>
      </c>
      <c r="E31" s="36">
        <f t="shared" ref="E31:P31" si="10">E15*MIN(1,MAX(0,E$4-9)/x_rampMonths)</f>
        <v>0</v>
      </c>
      <c r="F31" s="36">
        <f t="shared" si="10"/>
        <v>0</v>
      </c>
      <c r="G31" s="36">
        <f t="shared" si="10"/>
        <v>0</v>
      </c>
      <c r="H31" s="36">
        <f t="shared" si="10"/>
        <v>0</v>
      </c>
      <c r="I31" s="36">
        <f t="shared" si="10"/>
        <v>0</v>
      </c>
      <c r="J31" s="36">
        <f t="shared" si="10"/>
        <v>0</v>
      </c>
      <c r="K31" s="36">
        <f t="shared" si="10"/>
        <v>0</v>
      </c>
      <c r="L31" s="36">
        <f t="shared" si="10"/>
        <v>0</v>
      </c>
      <c r="M31" s="36">
        <f t="shared" si="10"/>
        <v>0</v>
      </c>
      <c r="N31" s="36">
        <f t="shared" si="10"/>
        <v>0.26165374388763285</v>
      </c>
      <c r="O31" s="36">
        <f t="shared" si="10"/>
        <v>0.51720223375122099</v>
      </c>
      <c r="P31" s="36">
        <f t="shared" si="10"/>
        <v>0.76675231153618506</v>
      </c>
    </row>
    <row r="32" spans="2:16" x14ac:dyDescent="0.45">
      <c r="B32" t="s">
        <v>499</v>
      </c>
      <c r="E32" s="36">
        <f t="shared" ref="E32:P32" si="11">E16*MIN(1,MAX(0,E$4-10)/x_rampMonths)</f>
        <v>0</v>
      </c>
      <c r="F32" s="36">
        <f t="shared" si="11"/>
        <v>0</v>
      </c>
      <c r="G32" s="36">
        <f t="shared" si="11"/>
        <v>0</v>
      </c>
      <c r="H32" s="36">
        <f t="shared" si="11"/>
        <v>0</v>
      </c>
      <c r="I32" s="36">
        <f t="shared" si="11"/>
        <v>0</v>
      </c>
      <c r="J32" s="36">
        <f t="shared" si="11"/>
        <v>0</v>
      </c>
      <c r="K32" s="36">
        <f t="shared" si="11"/>
        <v>0</v>
      </c>
      <c r="L32" s="36">
        <f t="shared" si="11"/>
        <v>0</v>
      </c>
      <c r="M32" s="36">
        <f t="shared" si="11"/>
        <v>0</v>
      </c>
      <c r="N32" s="36">
        <f t="shared" si="11"/>
        <v>0</v>
      </c>
      <c r="O32" s="36">
        <f t="shared" si="11"/>
        <v>0.26351030977684509</v>
      </c>
      <c r="P32" s="36">
        <f t="shared" si="11"/>
        <v>0.52087204565889711</v>
      </c>
    </row>
    <row r="33" spans="2:17" x14ac:dyDescent="0.45">
      <c r="B33" t="s">
        <v>500</v>
      </c>
      <c r="E33" s="36">
        <f t="shared" ref="E33:P33" si="12">E17*MIN(1,MAX(0,E$4-11)/x_rampMonths)</f>
        <v>0</v>
      </c>
      <c r="F33" s="36">
        <f t="shared" si="12"/>
        <v>0</v>
      </c>
      <c r="G33" s="36">
        <f t="shared" si="12"/>
        <v>0</v>
      </c>
      <c r="H33" s="36">
        <f t="shared" si="12"/>
        <v>0</v>
      </c>
      <c r="I33" s="36">
        <f t="shared" si="12"/>
        <v>0</v>
      </c>
      <c r="J33" s="36">
        <f t="shared" si="12"/>
        <v>0</v>
      </c>
      <c r="K33" s="36">
        <f t="shared" si="12"/>
        <v>0</v>
      </c>
      <c r="L33" s="36">
        <f t="shared" si="12"/>
        <v>0</v>
      </c>
      <c r="M33" s="36">
        <f t="shared" si="12"/>
        <v>0</v>
      </c>
      <c r="N33" s="36">
        <f t="shared" si="12"/>
        <v>0</v>
      </c>
      <c r="O33" s="36">
        <f t="shared" si="12"/>
        <v>0</v>
      </c>
      <c r="P33" s="36">
        <f t="shared" si="12"/>
        <v>9.8700446443131695E-2</v>
      </c>
    </row>
    <row r="34" spans="2:17" x14ac:dyDescent="0.45">
      <c r="B34" t="s">
        <v>501</v>
      </c>
      <c r="E34" s="36">
        <f t="shared" ref="E34:P34" si="13">E18*MIN(1,MAX(0,E$4-12)/x_rampMonths)</f>
        <v>0</v>
      </c>
      <c r="F34" s="36">
        <f t="shared" si="13"/>
        <v>0</v>
      </c>
      <c r="G34" s="36">
        <f t="shared" si="13"/>
        <v>0</v>
      </c>
      <c r="H34" s="36">
        <f t="shared" si="13"/>
        <v>0</v>
      </c>
      <c r="I34" s="36">
        <f t="shared" si="13"/>
        <v>0</v>
      </c>
      <c r="J34" s="36">
        <f t="shared" si="13"/>
        <v>0</v>
      </c>
      <c r="K34" s="36">
        <f t="shared" si="13"/>
        <v>0</v>
      </c>
      <c r="L34" s="36">
        <f t="shared" si="13"/>
        <v>0</v>
      </c>
      <c r="M34" s="36">
        <f t="shared" si="13"/>
        <v>0</v>
      </c>
      <c r="N34" s="36">
        <f t="shared" si="13"/>
        <v>0</v>
      </c>
      <c r="O34" s="36">
        <f t="shared" si="13"/>
        <v>0</v>
      </c>
      <c r="P34" s="36">
        <f t="shared" si="13"/>
        <v>0</v>
      </c>
    </row>
    <row r="35" spans="2:17" x14ac:dyDescent="0.45">
      <c r="B35" s="4" t="s">
        <v>504</v>
      </c>
      <c r="E35" s="44">
        <f t="shared" ref="E35:P35" si="14">SUM(E22:E34)</f>
        <v>42</v>
      </c>
      <c r="F35" s="44">
        <f t="shared" si="14"/>
        <v>41.924999999999997</v>
      </c>
      <c r="G35" s="44">
        <f t="shared" si="14"/>
        <v>42.094366666666659</v>
      </c>
      <c r="H35" s="44">
        <f t="shared" si="14"/>
        <v>42.502408319444434</v>
      </c>
      <c r="I35" s="44">
        <f t="shared" si="14"/>
        <v>43.310199489305546</v>
      </c>
      <c r="J35" s="44">
        <f t="shared" si="14"/>
        <v>44.345579370737525</v>
      </c>
      <c r="K35" s="44">
        <f t="shared" si="14"/>
        <v>45.605026685190786</v>
      </c>
      <c r="L35" s="44">
        <f t="shared" si="14"/>
        <v>46.698264957702555</v>
      </c>
      <c r="M35" s="44">
        <f t="shared" si="14"/>
        <v>47.788135470421068</v>
      </c>
      <c r="N35" s="44">
        <f t="shared" si="14"/>
        <v>48.876424066638478</v>
      </c>
      <c r="O35" s="44">
        <f t="shared" si="14"/>
        <v>49.80954084947475</v>
      </c>
      <c r="P35" s="44">
        <f t="shared" si="14"/>
        <v>50.577859049690588</v>
      </c>
      <c r="Q35" s="44">
        <f>AVERAGE(E35:P35)</f>
        <v>45.461067077106037</v>
      </c>
    </row>
    <row r="36" spans="2:17" x14ac:dyDescent="0.45">
      <c r="B36" s="4" t="s">
        <v>505</v>
      </c>
      <c r="E36" s="13">
        <f t="shared" ref="E36:P36" si="15">E35*x_quota/12*x_attainment</f>
        <v>1959999.9999999998</v>
      </c>
      <c r="F36" s="13">
        <f t="shared" si="15"/>
        <v>1956499.9999999995</v>
      </c>
      <c r="G36" s="13">
        <f t="shared" si="15"/>
        <v>1964403.7777777773</v>
      </c>
      <c r="H36" s="13">
        <f t="shared" si="15"/>
        <v>1983445.7215740732</v>
      </c>
      <c r="I36" s="13">
        <f t="shared" si="15"/>
        <v>2021142.642834259</v>
      </c>
      <c r="J36" s="13">
        <f t="shared" si="15"/>
        <v>2069460.3706344177</v>
      </c>
      <c r="K36" s="13">
        <f t="shared" si="15"/>
        <v>2128234.5786422365</v>
      </c>
      <c r="L36" s="13">
        <f t="shared" si="15"/>
        <v>2179252.3646927858</v>
      </c>
      <c r="M36" s="13">
        <f t="shared" si="15"/>
        <v>2230112.9886196498</v>
      </c>
      <c r="N36" s="13">
        <f t="shared" si="15"/>
        <v>2280899.7897764626</v>
      </c>
      <c r="O36" s="13">
        <f t="shared" si="15"/>
        <v>2324445.2396421549</v>
      </c>
      <c r="P36" s="13">
        <f t="shared" si="15"/>
        <v>2360300.0889855605</v>
      </c>
      <c r="Q36" s="13">
        <f>SUM(E36:P36)</f>
        <v>25458197.563179381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Q12"/>
  <sheetViews>
    <sheetView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2" customWidth="1"/>
    <col min="2" max="2" width="44" customWidth="1"/>
    <col min="3" max="3" width="12" customWidth="1"/>
    <col min="4" max="4" width="13" customWidth="1"/>
    <col min="5" max="17" width="12.46484375" customWidth="1"/>
  </cols>
  <sheetData>
    <row r="1" spans="2:17" ht="18" x14ac:dyDescent="0.55000000000000004">
      <c r="B1" s="7" t="s">
        <v>506</v>
      </c>
    </row>
    <row r="2" spans="2:17" x14ac:dyDescent="0.45">
      <c r="B2" s="8" t="s">
        <v>507</v>
      </c>
    </row>
    <row r="3" spans="2:17" x14ac:dyDescent="0.45">
      <c r="B3" s="9" t="s">
        <v>508</v>
      </c>
      <c r="C3" s="9"/>
      <c r="D3" s="9"/>
      <c r="E3" s="41" t="s">
        <v>289</v>
      </c>
      <c r="F3" s="41" t="s">
        <v>290</v>
      </c>
      <c r="G3" s="41" t="s">
        <v>291</v>
      </c>
      <c r="H3" s="41" t="s">
        <v>292</v>
      </c>
      <c r="I3" s="41" t="s">
        <v>293</v>
      </c>
      <c r="J3" s="41" t="s">
        <v>294</v>
      </c>
      <c r="K3" s="41" t="s">
        <v>295</v>
      </c>
      <c r="L3" s="41" t="s">
        <v>296</v>
      </c>
      <c r="M3" s="41" t="s">
        <v>297</v>
      </c>
      <c r="N3" s="41" t="s">
        <v>298</v>
      </c>
      <c r="O3" s="41" t="s">
        <v>299</v>
      </c>
      <c r="P3" s="41" t="s">
        <v>300</v>
      </c>
      <c r="Q3" s="41" t="s">
        <v>439</v>
      </c>
    </row>
    <row r="4" spans="2:17" x14ac:dyDescent="0.45">
      <c r="E4" s="42">
        <v>1</v>
      </c>
      <c r="F4" s="42">
        <v>2</v>
      </c>
      <c r="G4" s="42">
        <v>3</v>
      </c>
      <c r="H4" s="42">
        <v>4</v>
      </c>
      <c r="I4" s="42">
        <v>5</v>
      </c>
      <c r="J4" s="42">
        <v>6</v>
      </c>
      <c r="K4" s="42">
        <v>7</v>
      </c>
      <c r="L4" s="42">
        <v>8</v>
      </c>
      <c r="M4" s="42">
        <v>9</v>
      </c>
      <c r="N4" s="42">
        <v>10</v>
      </c>
      <c r="O4" s="42">
        <v>11</v>
      </c>
      <c r="P4" s="42">
        <v>12</v>
      </c>
    </row>
    <row r="6" spans="2:17" x14ac:dyDescent="0.45">
      <c r="B6" t="s">
        <v>509</v>
      </c>
      <c r="E6" s="36">
        <f>Hires!E10+Hires!E17</f>
        <v>3</v>
      </c>
      <c r="F6" s="36">
        <f>Hires!F10+Hires!F17</f>
        <v>3</v>
      </c>
      <c r="G6" s="36">
        <f>Hires!G10+Hires!G17</f>
        <v>3</v>
      </c>
      <c r="H6" s="36">
        <f>Hires!H10+Hires!H17</f>
        <v>2</v>
      </c>
      <c r="I6" s="36">
        <f>Hires!I10+Hires!I17</f>
        <v>2</v>
      </c>
      <c r="J6" s="36">
        <f>Hires!J10+Hires!J17</f>
        <v>2</v>
      </c>
      <c r="K6" s="36">
        <f>Hires!K10+Hires!K17</f>
        <v>2</v>
      </c>
      <c r="L6" s="36">
        <f>Hires!L10+Hires!L17</f>
        <v>2</v>
      </c>
      <c r="M6" s="36">
        <f>Hires!M10+Hires!M17</f>
        <v>1</v>
      </c>
      <c r="N6" s="36">
        <f>Hires!N10+Hires!N17</f>
        <v>1</v>
      </c>
      <c r="O6" s="36">
        <f>Hires!O10+Hires!O17</f>
        <v>1</v>
      </c>
      <c r="P6" s="36">
        <f>Hires!P10+Hires!P17</f>
        <v>0</v>
      </c>
      <c r="Q6" s="44">
        <f>SUM(E6:P6)</f>
        <v>22</v>
      </c>
    </row>
    <row r="7" spans="2:17" x14ac:dyDescent="0.45">
      <c r="B7" t="s">
        <v>510</v>
      </c>
      <c r="E7" s="36">
        <f>0</f>
        <v>0</v>
      </c>
      <c r="F7" s="36">
        <f>SUM($E6:E6)</f>
        <v>3</v>
      </c>
      <c r="G7" s="36">
        <f>SUM($E6:F6)</f>
        <v>6</v>
      </c>
      <c r="H7" s="36">
        <f>SUM($E6:G6)</f>
        <v>9</v>
      </c>
      <c r="I7" s="36">
        <f>SUM($E6:H6)</f>
        <v>11</v>
      </c>
      <c r="J7" s="36">
        <f>SUM($E6:I6)</f>
        <v>13</v>
      </c>
      <c r="K7" s="36">
        <f>SUM($E6:J6)</f>
        <v>15</v>
      </c>
      <c r="L7" s="36">
        <f>SUM($E6:K6)</f>
        <v>17</v>
      </c>
      <c r="M7" s="36">
        <f>SUM($E6:L6)</f>
        <v>19</v>
      </c>
      <c r="N7" s="36">
        <f>SUM($E6:M6)</f>
        <v>20</v>
      </c>
      <c r="O7" s="36">
        <f>SUM($E6:N6)</f>
        <v>21</v>
      </c>
      <c r="P7" s="36">
        <f>SUM($E6:O6)</f>
        <v>22</v>
      </c>
      <c r="Q7" s="44">
        <f>SUM(E7:P7)</f>
        <v>156</v>
      </c>
    </row>
    <row r="8" spans="2:17" x14ac:dyDescent="0.45">
      <c r="B8" t="s">
        <v>511</v>
      </c>
      <c r="E8" s="36">
        <f>E7</f>
        <v>0</v>
      </c>
      <c r="F8" s="36">
        <f t="shared" ref="F8:P8" si="0">E8+F7</f>
        <v>3</v>
      </c>
      <c r="G8" s="36">
        <f t="shared" si="0"/>
        <v>9</v>
      </c>
      <c r="H8" s="36">
        <f t="shared" si="0"/>
        <v>18</v>
      </c>
      <c r="I8" s="36">
        <f t="shared" si="0"/>
        <v>29</v>
      </c>
      <c r="J8" s="36">
        <f t="shared" si="0"/>
        <v>42</v>
      </c>
      <c r="K8" s="36">
        <f t="shared" si="0"/>
        <v>57</v>
      </c>
      <c r="L8" s="36">
        <f t="shared" si="0"/>
        <v>74</v>
      </c>
      <c r="M8" s="36">
        <f t="shared" si="0"/>
        <v>93</v>
      </c>
      <c r="N8" s="36">
        <f t="shared" si="0"/>
        <v>113</v>
      </c>
      <c r="O8" s="36">
        <f t="shared" si="0"/>
        <v>134</v>
      </c>
      <c r="P8" s="36">
        <f t="shared" si="0"/>
        <v>156</v>
      </c>
      <c r="Q8" s="44">
        <f>P8</f>
        <v>156</v>
      </c>
    </row>
    <row r="10" spans="2:17" x14ac:dyDescent="0.45">
      <c r="B10" s="4" t="s">
        <v>512</v>
      </c>
      <c r="E10" s="4">
        <f>COUNTIF(E8:P8,"&lt;"&amp;(x_moduleEngMonths-0.000000001))+2</f>
        <v>7</v>
      </c>
    </row>
    <row r="12" spans="2:17" x14ac:dyDescent="0.45">
      <c r="B12" t="s">
        <v>513</v>
      </c>
      <c r="E12" s="11">
        <f t="shared" ref="E12:P12" si="1">IF(E$4&gt;=Launch,x_moduleArrPerMonth,0)</f>
        <v>0</v>
      </c>
      <c r="F12" s="11">
        <f t="shared" si="1"/>
        <v>0</v>
      </c>
      <c r="G12" s="11">
        <f t="shared" si="1"/>
        <v>0</v>
      </c>
      <c r="H12" s="11">
        <f t="shared" si="1"/>
        <v>0</v>
      </c>
      <c r="I12" s="11">
        <f t="shared" si="1"/>
        <v>0</v>
      </c>
      <c r="J12" s="11">
        <f t="shared" si="1"/>
        <v>0</v>
      </c>
      <c r="K12" s="11">
        <f t="shared" si="1"/>
        <v>150000</v>
      </c>
      <c r="L12" s="11">
        <f t="shared" si="1"/>
        <v>150000</v>
      </c>
      <c r="M12" s="11">
        <f t="shared" si="1"/>
        <v>150000</v>
      </c>
      <c r="N12" s="11">
        <f t="shared" si="1"/>
        <v>150000</v>
      </c>
      <c r="O12" s="11">
        <f t="shared" si="1"/>
        <v>150000</v>
      </c>
      <c r="P12" s="11">
        <f t="shared" si="1"/>
        <v>150000</v>
      </c>
      <c r="Q12" s="13">
        <f>SUM(E12:P12)</f>
        <v>900000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Q14"/>
  <sheetViews>
    <sheetView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2" customWidth="1"/>
    <col min="2" max="2" width="44" customWidth="1"/>
    <col min="3" max="3" width="12" customWidth="1"/>
    <col min="4" max="4" width="13" customWidth="1"/>
    <col min="5" max="17" width="12.46484375" customWidth="1"/>
  </cols>
  <sheetData>
    <row r="1" spans="2:17" ht="18" x14ac:dyDescent="0.55000000000000004">
      <c r="B1" s="7" t="s">
        <v>514</v>
      </c>
    </row>
    <row r="2" spans="2:17" x14ac:dyDescent="0.45">
      <c r="B2" s="8" t="s">
        <v>515</v>
      </c>
    </row>
    <row r="3" spans="2:17" x14ac:dyDescent="0.45">
      <c r="B3" s="9" t="s">
        <v>237</v>
      </c>
      <c r="C3" s="9"/>
      <c r="D3" s="9"/>
      <c r="E3" s="41" t="s">
        <v>289</v>
      </c>
      <c r="F3" s="41" t="s">
        <v>290</v>
      </c>
      <c r="G3" s="41" t="s">
        <v>291</v>
      </c>
      <c r="H3" s="41" t="s">
        <v>292</v>
      </c>
      <c r="I3" s="41" t="s">
        <v>293</v>
      </c>
      <c r="J3" s="41" t="s">
        <v>294</v>
      </c>
      <c r="K3" s="41" t="s">
        <v>295</v>
      </c>
      <c r="L3" s="41" t="s">
        <v>296</v>
      </c>
      <c r="M3" s="41" t="s">
        <v>297</v>
      </c>
      <c r="N3" s="41" t="s">
        <v>298</v>
      </c>
      <c r="O3" s="41" t="s">
        <v>299</v>
      </c>
      <c r="P3" s="41" t="s">
        <v>300</v>
      </c>
      <c r="Q3" s="41" t="s">
        <v>439</v>
      </c>
    </row>
    <row r="4" spans="2:17" x14ac:dyDescent="0.45">
      <c r="E4" s="42">
        <v>1</v>
      </c>
      <c r="F4" s="42">
        <v>2</v>
      </c>
      <c r="G4" s="42">
        <v>3</v>
      </c>
      <c r="H4" s="42">
        <v>4</v>
      </c>
      <c r="I4" s="42">
        <v>5</v>
      </c>
      <c r="J4" s="42">
        <v>6</v>
      </c>
      <c r="K4" s="42">
        <v>7</v>
      </c>
      <c r="L4" s="42">
        <v>8</v>
      </c>
      <c r="M4" s="42">
        <v>9</v>
      </c>
      <c r="N4" s="42">
        <v>10</v>
      </c>
      <c r="O4" s="42">
        <v>11</v>
      </c>
      <c r="P4" s="42">
        <v>12</v>
      </c>
    </row>
    <row r="6" spans="2:17" x14ac:dyDescent="0.45">
      <c r="B6" t="s">
        <v>516</v>
      </c>
      <c r="E6" s="11">
        <f>x_arr0</f>
        <v>98000000</v>
      </c>
      <c r="F6" s="11">
        <f t="shared" ref="F6:P6" si="0">E12</f>
        <v>100205000</v>
      </c>
      <c r="G6" s="11">
        <f t="shared" si="0"/>
        <v>102412012.5</v>
      </c>
      <c r="H6" s="11">
        <f t="shared" si="0"/>
        <v>104632446.30902778</v>
      </c>
      <c r="I6" s="11">
        <f t="shared" si="0"/>
        <v>106877473.1463744</v>
      </c>
      <c r="J6" s="11">
        <f t="shared" si="0"/>
        <v>109165809.4720746</v>
      </c>
      <c r="K6" s="11">
        <f t="shared" si="0"/>
        <v>111508184.36638921</v>
      </c>
      <c r="L6" s="11">
        <f t="shared" si="0"/>
        <v>114065189.40594742</v>
      </c>
      <c r="M6" s="11">
        <f t="shared" si="0"/>
        <v>116679604.74415508</v>
      </c>
      <c r="N6" s="11">
        <f t="shared" si="0"/>
        <v>119351416.74463513</v>
      </c>
      <c r="O6" s="11">
        <f t="shared" si="0"/>
        <v>122080695.07627317</v>
      </c>
      <c r="P6" s="11">
        <f t="shared" si="0"/>
        <v>124860342.05360602</v>
      </c>
      <c r="Q6" s="13">
        <f>E6</f>
        <v>98000000</v>
      </c>
    </row>
    <row r="7" spans="2:17" x14ac:dyDescent="0.45">
      <c r="B7" t="s">
        <v>517</v>
      </c>
      <c r="E7" s="11">
        <f>Sales_Capacity!E36</f>
        <v>1959999.9999999998</v>
      </c>
      <c r="F7" s="11">
        <f>Sales_Capacity!F36</f>
        <v>1956499.9999999995</v>
      </c>
      <c r="G7" s="11">
        <f>Sales_Capacity!G36</f>
        <v>1964403.7777777773</v>
      </c>
      <c r="H7" s="11">
        <f>Sales_Capacity!H36</f>
        <v>1983445.7215740732</v>
      </c>
      <c r="I7" s="11">
        <f>Sales_Capacity!I36</f>
        <v>2021142.642834259</v>
      </c>
      <c r="J7" s="11">
        <f>Sales_Capacity!J36</f>
        <v>2069460.3706344177</v>
      </c>
      <c r="K7" s="11">
        <f>Sales_Capacity!K36</f>
        <v>2128234.5786422365</v>
      </c>
      <c r="L7" s="11">
        <f>Sales_Capacity!L36</f>
        <v>2179252.3646927858</v>
      </c>
      <c r="M7" s="11">
        <f>Sales_Capacity!M36</f>
        <v>2230112.9886196498</v>
      </c>
      <c r="N7" s="11">
        <f>Sales_Capacity!N36</f>
        <v>2280899.7897764626</v>
      </c>
      <c r="O7" s="11">
        <f>Sales_Capacity!O36</f>
        <v>2324445.2396421549</v>
      </c>
      <c r="P7" s="11">
        <f>Sales_Capacity!P36</f>
        <v>2360300.0889855605</v>
      </c>
      <c r="Q7" s="13">
        <f>SUM(E7:P7)</f>
        <v>25458197.563179381</v>
      </c>
    </row>
    <row r="8" spans="2:17" x14ac:dyDescent="0.45">
      <c r="B8" t="s">
        <v>518</v>
      </c>
      <c r="E8" s="11">
        <f t="shared" ref="E8:P8" si="1">E6*x_expansion/12</f>
        <v>980000</v>
      </c>
      <c r="F8" s="11">
        <f t="shared" si="1"/>
        <v>1002050</v>
      </c>
      <c r="G8" s="11">
        <f t="shared" si="1"/>
        <v>1024120.125</v>
      </c>
      <c r="H8" s="11">
        <f t="shared" si="1"/>
        <v>1046324.4630902777</v>
      </c>
      <c r="I8" s="11">
        <f t="shared" si="1"/>
        <v>1068774.7314637441</v>
      </c>
      <c r="J8" s="11">
        <f t="shared" si="1"/>
        <v>1091658.0947207459</v>
      </c>
      <c r="K8" s="11">
        <f t="shared" si="1"/>
        <v>1115081.843663892</v>
      </c>
      <c r="L8" s="11">
        <f t="shared" si="1"/>
        <v>1140651.8940594741</v>
      </c>
      <c r="M8" s="11">
        <f t="shared" si="1"/>
        <v>1166796.0474415508</v>
      </c>
      <c r="N8" s="11">
        <f t="shared" si="1"/>
        <v>1193514.1674463514</v>
      </c>
      <c r="O8" s="11">
        <f t="shared" si="1"/>
        <v>1220806.9507627317</v>
      </c>
      <c r="P8" s="11">
        <f t="shared" si="1"/>
        <v>1248603.4205360601</v>
      </c>
      <c r="Q8" s="13">
        <f>SUM(E8:P8)</f>
        <v>13298381.738184826</v>
      </c>
    </row>
    <row r="9" spans="2:17" x14ac:dyDescent="0.45">
      <c r="B9" t="s">
        <v>519</v>
      </c>
      <c r="E9" s="11">
        <f>Roadmap!E12</f>
        <v>0</v>
      </c>
      <c r="F9" s="11">
        <f>Roadmap!F12</f>
        <v>0</v>
      </c>
      <c r="G9" s="11">
        <f>Roadmap!G12</f>
        <v>0</v>
      </c>
      <c r="H9" s="11">
        <f>Roadmap!H12</f>
        <v>0</v>
      </c>
      <c r="I9" s="11">
        <f>Roadmap!I12</f>
        <v>0</v>
      </c>
      <c r="J9" s="11">
        <f>Roadmap!J12</f>
        <v>0</v>
      </c>
      <c r="K9" s="11">
        <f>Roadmap!K12</f>
        <v>150000</v>
      </c>
      <c r="L9" s="11">
        <f>Roadmap!L12</f>
        <v>150000</v>
      </c>
      <c r="M9" s="11">
        <f>Roadmap!M12</f>
        <v>150000</v>
      </c>
      <c r="N9" s="11">
        <f>Roadmap!N12</f>
        <v>150000</v>
      </c>
      <c r="O9" s="11">
        <f>Roadmap!O12</f>
        <v>150000</v>
      </c>
      <c r="P9" s="11">
        <f>Roadmap!P12</f>
        <v>150000</v>
      </c>
      <c r="Q9" s="13">
        <f>SUM(E9:P9)</f>
        <v>900000</v>
      </c>
    </row>
    <row r="10" spans="2:17" x14ac:dyDescent="0.45">
      <c r="B10" t="s">
        <v>520</v>
      </c>
      <c r="E10" s="11">
        <f t="shared" ref="E10:P10" si="2">E8+E9</f>
        <v>980000</v>
      </c>
      <c r="F10" s="11">
        <f t="shared" si="2"/>
        <v>1002050</v>
      </c>
      <c r="G10" s="11">
        <f t="shared" si="2"/>
        <v>1024120.125</v>
      </c>
      <c r="H10" s="11">
        <f t="shared" si="2"/>
        <v>1046324.4630902777</v>
      </c>
      <c r="I10" s="11">
        <f t="shared" si="2"/>
        <v>1068774.7314637441</v>
      </c>
      <c r="J10" s="11">
        <f t="shared" si="2"/>
        <v>1091658.0947207459</v>
      </c>
      <c r="K10" s="11">
        <f t="shared" si="2"/>
        <v>1265081.843663892</v>
      </c>
      <c r="L10" s="11">
        <f t="shared" si="2"/>
        <v>1290651.8940594741</v>
      </c>
      <c r="M10" s="11">
        <f t="shared" si="2"/>
        <v>1316796.0474415508</v>
      </c>
      <c r="N10" s="11">
        <f t="shared" si="2"/>
        <v>1343514.1674463514</v>
      </c>
      <c r="O10" s="11">
        <f t="shared" si="2"/>
        <v>1370806.9507627317</v>
      </c>
      <c r="P10" s="11">
        <f t="shared" si="2"/>
        <v>1398603.4205360601</v>
      </c>
      <c r="Q10" s="13">
        <f>SUM(E10:P10)</f>
        <v>14198381.738184826</v>
      </c>
    </row>
    <row r="11" spans="2:17" x14ac:dyDescent="0.45">
      <c r="B11" t="s">
        <v>521</v>
      </c>
      <c r="E11" s="11">
        <f t="shared" ref="E11:P11" si="3">E6*x_churn/12</f>
        <v>735000</v>
      </c>
      <c r="F11" s="11">
        <f t="shared" si="3"/>
        <v>751537.5</v>
      </c>
      <c r="G11" s="11">
        <f t="shared" si="3"/>
        <v>768090.09375</v>
      </c>
      <c r="H11" s="11">
        <f t="shared" si="3"/>
        <v>784743.34731770831</v>
      </c>
      <c r="I11" s="11">
        <f t="shared" si="3"/>
        <v>801581.048597808</v>
      </c>
      <c r="J11" s="11">
        <f t="shared" si="3"/>
        <v>818743.57104055944</v>
      </c>
      <c r="K11" s="11">
        <f t="shared" si="3"/>
        <v>836311.38274791918</v>
      </c>
      <c r="L11" s="11">
        <f t="shared" si="3"/>
        <v>855488.92054460559</v>
      </c>
      <c r="M11" s="11">
        <f t="shared" si="3"/>
        <v>875097.03558116313</v>
      </c>
      <c r="N11" s="11">
        <f t="shared" si="3"/>
        <v>895135.62558476347</v>
      </c>
      <c r="O11" s="11">
        <f t="shared" si="3"/>
        <v>915605.21307204885</v>
      </c>
      <c r="P11" s="11">
        <f t="shared" si="3"/>
        <v>936452.56540204503</v>
      </c>
      <c r="Q11" s="13">
        <f>SUM(E11:P11)</f>
        <v>9973786.3036386222</v>
      </c>
    </row>
    <row r="12" spans="2:17" x14ac:dyDescent="0.45">
      <c r="B12" s="4" t="s">
        <v>522</v>
      </c>
      <c r="E12" s="13">
        <f t="shared" ref="E12:P12" si="4">E6+E7+E10-E11</f>
        <v>100205000</v>
      </c>
      <c r="F12" s="13">
        <f t="shared" si="4"/>
        <v>102412012.5</v>
      </c>
      <c r="G12" s="13">
        <f t="shared" si="4"/>
        <v>104632446.30902778</v>
      </c>
      <c r="H12" s="13">
        <f t="shared" si="4"/>
        <v>106877473.1463744</v>
      </c>
      <c r="I12" s="13">
        <f t="shared" si="4"/>
        <v>109165809.4720746</v>
      </c>
      <c r="J12" s="13">
        <f t="shared" si="4"/>
        <v>111508184.36638921</v>
      </c>
      <c r="K12" s="13">
        <f t="shared" si="4"/>
        <v>114065189.40594742</v>
      </c>
      <c r="L12" s="13">
        <f t="shared" si="4"/>
        <v>116679604.74415508</v>
      </c>
      <c r="M12" s="13">
        <f t="shared" si="4"/>
        <v>119351416.74463513</v>
      </c>
      <c r="N12" s="13">
        <f t="shared" si="4"/>
        <v>122080695.07627317</v>
      </c>
      <c r="O12" s="13">
        <f t="shared" si="4"/>
        <v>124860342.05360602</v>
      </c>
      <c r="P12" s="13">
        <f t="shared" si="4"/>
        <v>127682792.99772559</v>
      </c>
      <c r="Q12" s="13">
        <f>P12</f>
        <v>127682792.99772559</v>
      </c>
    </row>
    <row r="14" spans="2:17" x14ac:dyDescent="0.45">
      <c r="B14" s="4" t="s">
        <v>364</v>
      </c>
      <c r="E14" s="13">
        <f t="shared" ref="E14:P14" si="5">(E6+E12)/2/12</f>
        <v>8258541.666666667</v>
      </c>
      <c r="F14" s="13">
        <f t="shared" si="5"/>
        <v>8442375.520833334</v>
      </c>
      <c r="G14" s="13">
        <f t="shared" si="5"/>
        <v>8626852.4503761586</v>
      </c>
      <c r="H14" s="13">
        <f t="shared" si="5"/>
        <v>8812913.3106417581</v>
      </c>
      <c r="I14" s="13">
        <f t="shared" si="5"/>
        <v>9001803.4424353745</v>
      </c>
      <c r="J14" s="13">
        <f t="shared" si="5"/>
        <v>9194749.7432693262</v>
      </c>
      <c r="K14" s="13">
        <f t="shared" si="5"/>
        <v>9398890.573847359</v>
      </c>
      <c r="L14" s="13">
        <f t="shared" si="5"/>
        <v>9614366.4229209367</v>
      </c>
      <c r="M14" s="13">
        <f t="shared" si="5"/>
        <v>9834625.8953662589</v>
      </c>
      <c r="N14" s="13">
        <f t="shared" si="5"/>
        <v>10059671.325871179</v>
      </c>
      <c r="O14" s="13">
        <f t="shared" si="5"/>
        <v>10289209.880411632</v>
      </c>
      <c r="P14" s="13">
        <f t="shared" si="5"/>
        <v>10522630.627138818</v>
      </c>
      <c r="Q14" s="13">
        <f>SUM(E14:P14)</f>
        <v>112056630.85977882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Q139"/>
  <sheetViews>
    <sheetView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2" customWidth="1"/>
    <col min="2" max="2" width="44" customWidth="1"/>
    <col min="3" max="3" width="12" customWidth="1"/>
    <col min="4" max="4" width="13" customWidth="1"/>
    <col min="5" max="17" width="12.46484375" customWidth="1"/>
  </cols>
  <sheetData>
    <row r="1" spans="2:17" ht="18" x14ac:dyDescent="0.55000000000000004">
      <c r="B1" s="7" t="s">
        <v>523</v>
      </c>
    </row>
    <row r="2" spans="2:17" x14ac:dyDescent="0.45">
      <c r="B2" s="8" t="s">
        <v>524</v>
      </c>
    </row>
    <row r="3" spans="2:17" x14ac:dyDescent="0.45">
      <c r="B3" s="9" t="s">
        <v>237</v>
      </c>
      <c r="C3" s="9"/>
      <c r="D3" s="9"/>
      <c r="E3" s="41" t="s">
        <v>289</v>
      </c>
      <c r="F3" s="41" t="s">
        <v>290</v>
      </c>
      <c r="G3" s="41" t="s">
        <v>291</v>
      </c>
      <c r="H3" s="41" t="s">
        <v>292</v>
      </c>
      <c r="I3" s="41" t="s">
        <v>293</v>
      </c>
      <c r="J3" s="41" t="s">
        <v>294</v>
      </c>
      <c r="K3" s="41" t="s">
        <v>295</v>
      </c>
      <c r="L3" s="41" t="s">
        <v>296</v>
      </c>
      <c r="M3" s="41" t="s">
        <v>297</v>
      </c>
      <c r="N3" s="41" t="s">
        <v>298</v>
      </c>
      <c r="O3" s="41" t="s">
        <v>299</v>
      </c>
      <c r="P3" s="41" t="s">
        <v>300</v>
      </c>
      <c r="Q3" s="41" t="s">
        <v>439</v>
      </c>
    </row>
    <row r="4" spans="2:17" x14ac:dyDescent="0.45">
      <c r="E4" s="42">
        <v>1</v>
      </c>
      <c r="F4" s="42">
        <v>2</v>
      </c>
      <c r="G4" s="42">
        <v>3</v>
      </c>
      <c r="H4" s="42">
        <v>4</v>
      </c>
      <c r="I4" s="42">
        <v>5</v>
      </c>
      <c r="J4" s="42">
        <v>6</v>
      </c>
      <c r="K4" s="42">
        <v>7</v>
      </c>
      <c r="L4" s="42">
        <v>8</v>
      </c>
      <c r="M4" s="42">
        <v>9</v>
      </c>
      <c r="N4" s="42">
        <v>10</v>
      </c>
      <c r="O4" s="42">
        <v>11</v>
      </c>
      <c r="P4" s="42">
        <v>12</v>
      </c>
    </row>
    <row r="6" spans="2:17" x14ac:dyDescent="0.45">
      <c r="B6" s="4" t="s">
        <v>440</v>
      </c>
    </row>
    <row r="7" spans="2:17" x14ac:dyDescent="0.45">
      <c r="B7" t="s">
        <v>525</v>
      </c>
      <c r="C7" s="43" t="s">
        <v>303</v>
      </c>
      <c r="E7" s="11">
        <f>Inputs!$I$48*x_escalation*x_payMult*IF(E$4&gt;=x_meritMonth,1+x_merit,1)</f>
        <v>195747.85738353551</v>
      </c>
      <c r="F7" s="11">
        <f>Inputs!$I$48*x_escalation*x_payMult*IF(F$4&gt;=x_meritMonth,1+x_merit,1)</f>
        <v>195747.85738353551</v>
      </c>
      <c r="G7" s="11">
        <f>Inputs!$I$48*x_escalation*x_payMult*IF(G$4&gt;=x_meritMonth,1+x_merit,1)</f>
        <v>195747.85738353551</v>
      </c>
      <c r="H7" s="11">
        <f>Inputs!$I$48*x_escalation*x_payMult*IF(H$4&gt;=x_meritMonth,1+x_merit,1)</f>
        <v>201424.54524765801</v>
      </c>
      <c r="I7" s="11">
        <f>Inputs!$I$48*x_escalation*x_payMult*IF(I$4&gt;=x_meritMonth,1+x_merit,1)</f>
        <v>201424.54524765801</v>
      </c>
      <c r="J7" s="11">
        <f>Inputs!$I$48*x_escalation*x_payMult*IF(J$4&gt;=x_meritMonth,1+x_merit,1)</f>
        <v>201424.54524765801</v>
      </c>
      <c r="K7" s="11">
        <f>Inputs!$I$48*x_escalation*x_payMult*IF(K$4&gt;=x_meritMonth,1+x_merit,1)</f>
        <v>201424.54524765801</v>
      </c>
      <c r="L7" s="11">
        <f>Inputs!$I$48*x_escalation*x_payMult*IF(L$4&gt;=x_meritMonth,1+x_merit,1)</f>
        <v>201424.54524765801</v>
      </c>
      <c r="M7" s="11">
        <f>Inputs!$I$48*x_escalation*x_payMult*IF(M$4&gt;=x_meritMonth,1+x_merit,1)</f>
        <v>201424.54524765801</v>
      </c>
      <c r="N7" s="11">
        <f>Inputs!$I$48*x_escalation*x_payMult*IF(N$4&gt;=x_meritMonth,1+x_merit,1)</f>
        <v>201424.54524765801</v>
      </c>
      <c r="O7" s="11">
        <f>Inputs!$I$48*x_escalation*x_payMult*IF(O$4&gt;=x_meritMonth,1+x_merit,1)</f>
        <v>201424.54524765801</v>
      </c>
      <c r="P7" s="11">
        <f>Inputs!$I$48*x_escalation*x_payMult*IF(P$4&gt;=x_meritMonth,1+x_merit,1)</f>
        <v>201424.54524765801</v>
      </c>
    </row>
    <row r="8" spans="2:17" x14ac:dyDescent="0.45">
      <c r="B8" t="s">
        <v>526</v>
      </c>
      <c r="C8" s="43" t="s">
        <v>303</v>
      </c>
      <c r="D8" s="15" t="s">
        <v>527</v>
      </c>
      <c r="E8" s="11">
        <f>Headcount!E13*E7/12</f>
        <v>791745.70871157246</v>
      </c>
      <c r="F8" s="11">
        <f>Headcount!F13*F7/12</f>
        <v>824370.35160882829</v>
      </c>
      <c r="G8" s="11">
        <f>Headcount!G13*G7/12</f>
        <v>856614.37367228291</v>
      </c>
      <c r="H8" s="11">
        <f>Headcount!H13*H7/12</f>
        <v>897462.82095656393</v>
      </c>
      <c r="I8" s="11">
        <f>Headcount!I13*I7/12</f>
        <v>913478.53680144867</v>
      </c>
      <c r="J8" s="11">
        <f>Headcount!J13*J7/12</f>
        <v>929699.06146612484</v>
      </c>
      <c r="K8" s="11">
        <f>Headcount!K13*K7/12</f>
        <v>946117.43616125139</v>
      </c>
      <c r="L8" s="11">
        <f>Headcount!L13*L7/12</f>
        <v>962531.00717349222</v>
      </c>
      <c r="M8" s="11">
        <f>Headcount!M13*M7/12</f>
        <v>978939.93654211413</v>
      </c>
      <c r="N8" s="11">
        <f>Headcount!N13*N7/12</f>
        <v>995346.66785585647</v>
      </c>
      <c r="O8" s="11">
        <f>Headcount!O13*O7/12</f>
        <v>1011753.5350090483</v>
      </c>
      <c r="P8" s="11">
        <f>Headcount!P13*P7/12</f>
        <v>1011375.1016032909</v>
      </c>
      <c r="Q8" s="13">
        <f t="shared" ref="Q8:Q13" si="0">SUM(E8:P8)</f>
        <v>11119434.537561875</v>
      </c>
    </row>
    <row r="9" spans="2:17" x14ac:dyDescent="0.45">
      <c r="B9" t="s">
        <v>528</v>
      </c>
      <c r="C9" s="43" t="s">
        <v>303</v>
      </c>
      <c r="D9" s="15" t="s">
        <v>392</v>
      </c>
      <c r="E9" s="11">
        <f t="shared" ref="E9:P9" si="1">E8*x_load</f>
        <v>195622.92255486402</v>
      </c>
      <c r="F9" s="11">
        <f t="shared" si="1"/>
        <v>203683.75309760959</v>
      </c>
      <c r="G9" s="11">
        <f t="shared" si="1"/>
        <v>211650.54061735646</v>
      </c>
      <c r="H9" s="11">
        <f t="shared" si="1"/>
        <v>221743.29205466216</v>
      </c>
      <c r="I9" s="11">
        <f t="shared" si="1"/>
        <v>225700.42261553768</v>
      </c>
      <c r="J9" s="11">
        <f t="shared" si="1"/>
        <v>229708.15692386866</v>
      </c>
      <c r="K9" s="11">
        <f t="shared" si="1"/>
        <v>233764.77561611033</v>
      </c>
      <c r="L9" s="11">
        <f t="shared" si="1"/>
        <v>237820.2074241355</v>
      </c>
      <c r="M9" s="11">
        <f t="shared" si="1"/>
        <v>241874.49238427731</v>
      </c>
      <c r="N9" s="11">
        <f t="shared" si="1"/>
        <v>245928.23425348132</v>
      </c>
      <c r="O9" s="11">
        <f t="shared" si="1"/>
        <v>249982.00968562072</v>
      </c>
      <c r="P9" s="11">
        <f t="shared" si="1"/>
        <v>249888.50712790288</v>
      </c>
      <c r="Q9" s="13">
        <f t="shared" si="0"/>
        <v>2747367.3143554265</v>
      </c>
    </row>
    <row r="10" spans="2:17" x14ac:dyDescent="0.45">
      <c r="B10" t="s">
        <v>529</v>
      </c>
      <c r="C10" s="43" t="s">
        <v>303</v>
      </c>
      <c r="D10" s="15" t="s">
        <v>530</v>
      </c>
      <c r="E10" s="11">
        <f t="shared" ref="E10:P10" si="2">E8*x_sbcRate</f>
        <v>158349.1417423145</v>
      </c>
      <c r="F10" s="11">
        <f t="shared" si="2"/>
        <v>164874.07032176567</v>
      </c>
      <c r="G10" s="11">
        <f t="shared" si="2"/>
        <v>171322.87473445659</v>
      </c>
      <c r="H10" s="11">
        <f t="shared" si="2"/>
        <v>179492.56419131279</v>
      </c>
      <c r="I10" s="11">
        <f t="shared" si="2"/>
        <v>182695.70736028976</v>
      </c>
      <c r="J10" s="11">
        <f t="shared" si="2"/>
        <v>185939.81229322497</v>
      </c>
      <c r="K10" s="11">
        <f t="shared" si="2"/>
        <v>189223.48723225028</v>
      </c>
      <c r="L10" s="11">
        <f t="shared" si="2"/>
        <v>192506.20143469845</v>
      </c>
      <c r="M10" s="11">
        <f t="shared" si="2"/>
        <v>195787.98730842283</v>
      </c>
      <c r="N10" s="11">
        <f t="shared" si="2"/>
        <v>199069.3335711713</v>
      </c>
      <c r="O10" s="11">
        <f t="shared" si="2"/>
        <v>202350.70700180967</v>
      </c>
      <c r="P10" s="11">
        <f t="shared" si="2"/>
        <v>202275.02032065819</v>
      </c>
      <c r="Q10" s="13">
        <f t="shared" si="0"/>
        <v>2223886.9075123752</v>
      </c>
    </row>
    <row r="11" spans="2:17" x14ac:dyDescent="0.45">
      <c r="B11" t="s">
        <v>531</v>
      </c>
      <c r="C11" s="43" t="s">
        <v>303</v>
      </c>
      <c r="D11" s="15" t="s">
        <v>532</v>
      </c>
      <c r="E11" s="11">
        <f>Headcount!E10*x_equipPerHire</f>
        <v>7610</v>
      </c>
      <c r="F11" s="11">
        <f>Headcount!F10*x_equipPerHire</f>
        <v>7610</v>
      </c>
      <c r="G11" s="11">
        <f>Headcount!G10*x_equipPerHire</f>
        <v>7610</v>
      </c>
      <c r="H11" s="11">
        <f>Headcount!H10*x_equipPerHire</f>
        <v>4610</v>
      </c>
      <c r="I11" s="11">
        <f>Headcount!I10*x_equipPerHire</f>
        <v>4680</v>
      </c>
      <c r="J11" s="11">
        <f>Headcount!J10*x_equipPerHire</f>
        <v>4749.1833333333334</v>
      </c>
      <c r="K11" s="11">
        <f>Headcount!K10*x_equipPerHire</f>
        <v>4817.5595277777784</v>
      </c>
      <c r="L11" s="11">
        <f>Headcount!L10*x_equipPerHire</f>
        <v>4850.1379999537048</v>
      </c>
      <c r="M11" s="11">
        <f>Headcount!M10*x_equipPerHire</f>
        <v>4883.1530566209112</v>
      </c>
      <c r="N11" s="11">
        <f>Headcount!N10*x_equipPerHire</f>
        <v>4916.5900765158885</v>
      </c>
      <c r="O11" s="11">
        <f>Headcount!O10*x_equipPerHire</f>
        <v>4950.4347201139453</v>
      </c>
      <c r="P11" s="11">
        <f>Headcount!P10*x_equipPerHire</f>
        <v>1984.2645917120753</v>
      </c>
      <c r="Q11" s="13">
        <f t="shared" si="0"/>
        <v>63271.323306027632</v>
      </c>
    </row>
    <row r="12" spans="2:17" x14ac:dyDescent="0.45">
      <c r="B12" t="s">
        <v>533</v>
      </c>
      <c r="C12" s="43" t="s">
        <v>303</v>
      </c>
      <c r="D12" s="15" t="s">
        <v>534</v>
      </c>
      <c r="E12" s="11">
        <f>Headcount!E13*x_softwarePerHead</f>
        <v>19414.666666666668</v>
      </c>
      <c r="F12" s="11">
        <f>Headcount!F13*x_softwarePerHead</f>
        <v>20214.666666666668</v>
      </c>
      <c r="G12" s="11">
        <f>Headcount!G13*x_softwarePerHead</f>
        <v>21005.333333333336</v>
      </c>
      <c r="H12" s="11">
        <f>Headcount!H13*x_softwarePerHead</f>
        <v>21386.775555555556</v>
      </c>
      <c r="I12" s="11">
        <f>Headcount!I13*x_softwarePerHead</f>
        <v>21768.434285185187</v>
      </c>
      <c r="J12" s="11">
        <f>Headcount!J13*x_softwarePerHead</f>
        <v>22154.97366296914</v>
      </c>
      <c r="K12" s="11">
        <f>Headcount!K13*x_softwarePerHead</f>
        <v>22546.227859123388</v>
      </c>
      <c r="L12" s="11">
        <f>Headcount!L13*x_softwarePerHead</f>
        <v>22937.367582248429</v>
      </c>
      <c r="M12" s="11">
        <f>Headcount!M13*x_softwarePerHead</f>
        <v>23328.396693782692</v>
      </c>
      <c r="N12" s="11">
        <f>Headcount!N13*x_softwarePerHead</f>
        <v>23719.373425089867</v>
      </c>
      <c r="O12" s="11">
        <f>Headcount!O13*x_softwarePerHead</f>
        <v>24110.353393486923</v>
      </c>
      <c r="P12" s="11">
        <f>Headcount!P13*x_softwarePerHead</f>
        <v>24101.335225689141</v>
      </c>
      <c r="Q12" s="13">
        <f t="shared" si="0"/>
        <v>266687.904349797</v>
      </c>
    </row>
    <row r="13" spans="2:17" x14ac:dyDescent="0.45">
      <c r="B13" t="s">
        <v>535</v>
      </c>
      <c r="C13" s="43" t="s">
        <v>303</v>
      </c>
      <c r="D13" s="15" t="s">
        <v>536</v>
      </c>
      <c r="E13" s="11">
        <f>Headcount!E13*x_te_rd</f>
        <v>12134.166666666668</v>
      </c>
      <c r="F13" s="11">
        <f>Headcount!F13*x_te_rd</f>
        <v>12634.166666666668</v>
      </c>
      <c r="G13" s="11">
        <f>Headcount!G13*x_te_rd</f>
        <v>13128.333333333334</v>
      </c>
      <c r="H13" s="11">
        <f>Headcount!H13*x_te_rd</f>
        <v>13366.734722222223</v>
      </c>
      <c r="I13" s="11">
        <f>Headcount!I13*x_te_rd</f>
        <v>13605.271428240743</v>
      </c>
      <c r="J13" s="11">
        <f>Headcount!J13*x_te_rd</f>
        <v>13846.858539355713</v>
      </c>
      <c r="K13" s="11">
        <f>Headcount!K13*x_te_rd</f>
        <v>14091.392411952118</v>
      </c>
      <c r="L13" s="11">
        <f>Headcount!L13*x_te_rd</f>
        <v>14335.854738905269</v>
      </c>
      <c r="M13" s="11">
        <f>Headcount!M13*x_te_rd</f>
        <v>14580.247933614184</v>
      </c>
      <c r="N13" s="11">
        <f>Headcount!N13*x_te_rd</f>
        <v>14824.608390681167</v>
      </c>
      <c r="O13" s="11">
        <f>Headcount!O13*x_te_rd</f>
        <v>15068.970870929326</v>
      </c>
      <c r="P13" s="11">
        <f>Headcount!P13*x_te_rd</f>
        <v>15063.334516055713</v>
      </c>
      <c r="Q13" s="13">
        <f t="shared" si="0"/>
        <v>166679.94021862312</v>
      </c>
    </row>
    <row r="15" spans="2:17" x14ac:dyDescent="0.45">
      <c r="B15" s="4" t="s">
        <v>446</v>
      </c>
    </row>
    <row r="16" spans="2:17" x14ac:dyDescent="0.45">
      <c r="B16" t="s">
        <v>525</v>
      </c>
      <c r="C16" s="43" t="s">
        <v>303</v>
      </c>
      <c r="E16" s="11">
        <f>Inputs!$I$49*x_escalation*x_payMult*IF(E$4&gt;=x_meritMonth,1+x_merit,1)</f>
        <v>230389.69048136115</v>
      </c>
      <c r="F16" s="11">
        <f>Inputs!$I$49*x_escalation*x_payMult*IF(F$4&gt;=x_meritMonth,1+x_merit,1)</f>
        <v>230389.69048136115</v>
      </c>
      <c r="G16" s="11">
        <f>Inputs!$I$49*x_escalation*x_payMult*IF(G$4&gt;=x_meritMonth,1+x_merit,1)</f>
        <v>230389.69048136115</v>
      </c>
      <c r="H16" s="11">
        <f>Inputs!$I$49*x_escalation*x_payMult*IF(H$4&gt;=x_meritMonth,1+x_merit,1)</f>
        <v>237070.99150532059</v>
      </c>
      <c r="I16" s="11">
        <f>Inputs!$I$49*x_escalation*x_payMult*IF(I$4&gt;=x_meritMonth,1+x_merit,1)</f>
        <v>237070.99150532059</v>
      </c>
      <c r="J16" s="11">
        <f>Inputs!$I$49*x_escalation*x_payMult*IF(J$4&gt;=x_meritMonth,1+x_merit,1)</f>
        <v>237070.99150532059</v>
      </c>
      <c r="K16" s="11">
        <f>Inputs!$I$49*x_escalation*x_payMult*IF(K$4&gt;=x_meritMonth,1+x_merit,1)</f>
        <v>237070.99150532059</v>
      </c>
      <c r="L16" s="11">
        <f>Inputs!$I$49*x_escalation*x_payMult*IF(L$4&gt;=x_meritMonth,1+x_merit,1)</f>
        <v>237070.99150532059</v>
      </c>
      <c r="M16" s="11">
        <f>Inputs!$I$49*x_escalation*x_payMult*IF(M$4&gt;=x_meritMonth,1+x_merit,1)</f>
        <v>237070.99150532059</v>
      </c>
      <c r="N16" s="11">
        <f>Inputs!$I$49*x_escalation*x_payMult*IF(N$4&gt;=x_meritMonth,1+x_merit,1)</f>
        <v>237070.99150532059</v>
      </c>
      <c r="O16" s="11">
        <f>Inputs!$I$49*x_escalation*x_payMult*IF(O$4&gt;=x_meritMonth,1+x_merit,1)</f>
        <v>237070.99150532059</v>
      </c>
      <c r="P16" s="11">
        <f>Inputs!$I$49*x_escalation*x_payMult*IF(P$4&gt;=x_meritMonth,1+x_merit,1)</f>
        <v>237070.99150532059</v>
      </c>
    </row>
    <row r="17" spans="2:17" x14ac:dyDescent="0.45">
      <c r="B17" t="s">
        <v>526</v>
      </c>
      <c r="C17" s="43" t="s">
        <v>303</v>
      </c>
      <c r="D17" s="15" t="s">
        <v>527</v>
      </c>
      <c r="E17" s="11">
        <f>Headcount!E23*E16/12</f>
        <v>660162.45893346693</v>
      </c>
      <c r="F17" s="11">
        <f>Headcount!F23*F16/12</f>
        <v>679361.59980691364</v>
      </c>
      <c r="G17" s="11">
        <f>Headcount!G23*G16/12</f>
        <v>698336.75070350349</v>
      </c>
      <c r="H17" s="11">
        <f>Headcount!H23*H16/12</f>
        <v>737886.15005998232</v>
      </c>
      <c r="I17" s="11">
        <f>Headcount!I23*I16/12</f>
        <v>757189.13027374132</v>
      </c>
      <c r="J17" s="11">
        <f>Headcount!J23*J16/12</f>
        <v>776497.39473785879</v>
      </c>
      <c r="K17" s="11">
        <f>Headcount!K23*K16/12</f>
        <v>795808.19280307507</v>
      </c>
      <c r="L17" s="11">
        <f>Headcount!L23*L16/12</f>
        <v>815118.8372827014</v>
      </c>
      <c r="M17" s="11">
        <f>Headcount!M23*M16/12</f>
        <v>814673.47638711578</v>
      </c>
      <c r="N17" s="11">
        <f>Headcount!N23*N16/12</f>
        <v>814228.08876787464</v>
      </c>
      <c r="O17" s="11">
        <f>Headcount!O23*O16/12</f>
        <v>814013.18998161855</v>
      </c>
      <c r="P17" s="11">
        <f>Headcount!P23*P16/12</f>
        <v>814026.08920013113</v>
      </c>
      <c r="Q17" s="13">
        <f t="shared" ref="Q17:Q22" si="3">SUM(E17:P17)</f>
        <v>9177301.3589379843</v>
      </c>
    </row>
    <row r="18" spans="2:17" x14ac:dyDescent="0.45">
      <c r="B18" t="s">
        <v>528</v>
      </c>
      <c r="C18" s="43" t="s">
        <v>303</v>
      </c>
      <c r="D18" s="15" t="s">
        <v>392</v>
      </c>
      <c r="E18" s="11">
        <f t="shared" ref="E18:P18" si="4">E17*x_load</f>
        <v>163111.60029869652</v>
      </c>
      <c r="F18" s="11">
        <f t="shared" si="4"/>
        <v>167855.28505363895</v>
      </c>
      <c r="G18" s="11">
        <f t="shared" si="4"/>
        <v>172543.62681977375</v>
      </c>
      <c r="H18" s="11">
        <f t="shared" si="4"/>
        <v>182315.41213199738</v>
      </c>
      <c r="I18" s="11">
        <f t="shared" si="4"/>
        <v>187084.75330036218</v>
      </c>
      <c r="J18" s="11">
        <f t="shared" si="4"/>
        <v>191855.40009057909</v>
      </c>
      <c r="K18" s="11">
        <f t="shared" si="4"/>
        <v>196626.67287781258</v>
      </c>
      <c r="L18" s="11">
        <f t="shared" si="4"/>
        <v>201397.90771743027</v>
      </c>
      <c r="M18" s="11">
        <f t="shared" si="4"/>
        <v>201287.86885138086</v>
      </c>
      <c r="N18" s="11">
        <f t="shared" si="4"/>
        <v>201177.8233825049</v>
      </c>
      <c r="O18" s="11">
        <f t="shared" si="4"/>
        <v>201124.72662661679</v>
      </c>
      <c r="P18" s="11">
        <f t="shared" si="4"/>
        <v>201127.91373934294</v>
      </c>
      <c r="Q18" s="13">
        <f t="shared" si="3"/>
        <v>2267508.990890136</v>
      </c>
    </row>
    <row r="19" spans="2:17" x14ac:dyDescent="0.45">
      <c r="B19" t="s">
        <v>529</v>
      </c>
      <c r="C19" s="43" t="s">
        <v>303</v>
      </c>
      <c r="D19" s="15" t="s">
        <v>530</v>
      </c>
      <c r="E19" s="11">
        <f t="shared" ref="E19:P19" si="5">E17*x_sbcRate</f>
        <v>132032.4917866934</v>
      </c>
      <c r="F19" s="11">
        <f t="shared" si="5"/>
        <v>135872.31996138275</v>
      </c>
      <c r="G19" s="11">
        <f t="shared" si="5"/>
        <v>139667.3501407007</v>
      </c>
      <c r="H19" s="11">
        <f t="shared" si="5"/>
        <v>147577.23001199646</v>
      </c>
      <c r="I19" s="11">
        <f t="shared" si="5"/>
        <v>151437.82605474826</v>
      </c>
      <c r="J19" s="11">
        <f t="shared" si="5"/>
        <v>155299.47894757177</v>
      </c>
      <c r="K19" s="11">
        <f t="shared" si="5"/>
        <v>159161.63856061501</v>
      </c>
      <c r="L19" s="11">
        <f t="shared" si="5"/>
        <v>163023.76745654028</v>
      </c>
      <c r="M19" s="11">
        <f t="shared" si="5"/>
        <v>162934.69527742316</v>
      </c>
      <c r="N19" s="11">
        <f t="shared" si="5"/>
        <v>162845.61775357494</v>
      </c>
      <c r="O19" s="11">
        <f t="shared" si="5"/>
        <v>162802.63799632373</v>
      </c>
      <c r="P19" s="11">
        <f t="shared" si="5"/>
        <v>162805.21784002625</v>
      </c>
      <c r="Q19" s="13">
        <f t="shared" si="3"/>
        <v>1835460.2717875964</v>
      </c>
    </row>
    <row r="20" spans="2:17" x14ac:dyDescent="0.45">
      <c r="B20" t="s">
        <v>531</v>
      </c>
      <c r="C20" s="43" t="s">
        <v>303</v>
      </c>
      <c r="D20" s="15" t="s">
        <v>532</v>
      </c>
      <c r="E20" s="11">
        <f>Headcount!E20*x_equipPerHire</f>
        <v>4155</v>
      </c>
      <c r="F20" s="11">
        <f>Headcount!F20*x_equipPerHire</f>
        <v>4155</v>
      </c>
      <c r="G20" s="11">
        <f>Headcount!G20*x_equipPerHire</f>
        <v>4155</v>
      </c>
      <c r="H20" s="11">
        <f>Headcount!H20*x_equipPerHire</f>
        <v>4155</v>
      </c>
      <c r="I20" s="11">
        <f>Headcount!I20*x_equipPerHire</f>
        <v>4190</v>
      </c>
      <c r="J20" s="11">
        <f>Headcount!J20*x_equipPerHire</f>
        <v>4224.5916666666672</v>
      </c>
      <c r="K20" s="11">
        <f>Headcount!K20*x_equipPerHire</f>
        <v>4258.7797638888887</v>
      </c>
      <c r="L20" s="11">
        <f>Headcount!L20*x_equipPerHire</f>
        <v>4292.568999976852</v>
      </c>
      <c r="M20" s="11">
        <f>Headcount!M20*x_equipPerHire</f>
        <v>1326.3723616437885</v>
      </c>
      <c r="N20" s="11">
        <f>Headcount!N20*x_equipPerHire</f>
        <v>1360.1849202023886</v>
      </c>
      <c r="O20" s="11">
        <f>Headcount!O20*x_equipPerHire</f>
        <v>1394.001860045398</v>
      </c>
      <c r="P20" s="11">
        <f>Headcount!P20*x_equipPerHire</f>
        <v>1427.8184766779314</v>
      </c>
      <c r="Q20" s="13">
        <f t="shared" si="3"/>
        <v>39094.318049101908</v>
      </c>
    </row>
    <row r="21" spans="2:17" x14ac:dyDescent="0.45">
      <c r="B21" t="s">
        <v>533</v>
      </c>
      <c r="C21" s="43" t="s">
        <v>303</v>
      </c>
      <c r="D21" s="15" t="s">
        <v>534</v>
      </c>
      <c r="E21" s="11">
        <f>Headcount!E23*x_softwarePerHead</f>
        <v>13754</v>
      </c>
      <c r="F21" s="11">
        <f>Headcount!F23*x_softwarePerHead</f>
        <v>14154</v>
      </c>
      <c r="G21" s="11">
        <f>Headcount!G23*x_softwarePerHead</f>
        <v>14549.33333333333</v>
      </c>
      <c r="H21" s="11">
        <f>Headcount!H23*x_softwarePerHead</f>
        <v>14940.054444444442</v>
      </c>
      <c r="I21" s="11">
        <f>Headcount!I23*x_softwarePerHead</f>
        <v>15330.883809259256</v>
      </c>
      <c r="J21" s="11">
        <f>Headcount!J23*x_softwarePerHead</f>
        <v>15721.820164817898</v>
      </c>
      <c r="K21" s="11">
        <f>Headcount!K23*x_softwarePerHead</f>
        <v>16112.807818450579</v>
      </c>
      <c r="L21" s="11">
        <f>Headcount!L23*x_softwarePerHead</f>
        <v>16503.792362420507</v>
      </c>
      <c r="M21" s="11">
        <f>Headcount!M23*x_softwarePerHead</f>
        <v>16494.775095966957</v>
      </c>
      <c r="N21" s="11">
        <f>Headcount!N23*x_softwarePerHead</f>
        <v>16485.757288436886</v>
      </c>
      <c r="O21" s="11">
        <f>Headcount!O23*x_softwarePerHead</f>
        <v>16481.406211287045</v>
      </c>
      <c r="P21" s="11">
        <f>Headcount!P23*x_softwarePerHead</f>
        <v>16481.66738305027</v>
      </c>
      <c r="Q21" s="13">
        <f t="shared" si="3"/>
        <v>187010.29791146715</v>
      </c>
    </row>
    <row r="22" spans="2:17" x14ac:dyDescent="0.45">
      <c r="B22" t="s">
        <v>535</v>
      </c>
      <c r="C22" s="43" t="s">
        <v>303</v>
      </c>
      <c r="D22" s="15" t="s">
        <v>536</v>
      </c>
      <c r="E22" s="11">
        <f>Headcount!E23*x_te_rd</f>
        <v>8596.25</v>
      </c>
      <c r="F22" s="11">
        <f>Headcount!F23*x_te_rd</f>
        <v>8846.25</v>
      </c>
      <c r="G22" s="11">
        <f>Headcount!G23*x_te_rd</f>
        <v>9093.3333333333321</v>
      </c>
      <c r="H22" s="11">
        <f>Headcount!H23*x_te_rd</f>
        <v>9337.5340277777759</v>
      </c>
      <c r="I22" s="11">
        <f>Headcount!I23*x_te_rd</f>
        <v>9581.8023807870359</v>
      </c>
      <c r="J22" s="11">
        <f>Headcount!J23*x_te_rd</f>
        <v>9826.137603011186</v>
      </c>
      <c r="K22" s="11">
        <f>Headcount!K23*x_te_rd</f>
        <v>10070.504886531613</v>
      </c>
      <c r="L22" s="11">
        <f>Headcount!L23*x_te_rd</f>
        <v>10314.870226512816</v>
      </c>
      <c r="M22" s="11">
        <f>Headcount!M23*x_te_rd</f>
        <v>10309.234434979349</v>
      </c>
      <c r="N22" s="11">
        <f>Headcount!N23*x_te_rd</f>
        <v>10303.598305273053</v>
      </c>
      <c r="O22" s="11">
        <f>Headcount!O23*x_te_rd</f>
        <v>10300.878882054403</v>
      </c>
      <c r="P22" s="11">
        <f>Headcount!P23*x_te_rd</f>
        <v>10301.042114406417</v>
      </c>
      <c r="Q22" s="13">
        <f t="shared" si="3"/>
        <v>116881.43619466698</v>
      </c>
    </row>
    <row r="24" spans="2:17" x14ac:dyDescent="0.45">
      <c r="B24" s="4" t="s">
        <v>447</v>
      </c>
    </row>
    <row r="25" spans="2:17" x14ac:dyDescent="0.45">
      <c r="B25" t="s">
        <v>525</v>
      </c>
      <c r="C25" s="43" t="s">
        <v>303</v>
      </c>
      <c r="E25" s="11">
        <f>Inputs!$I$50*x_escalation*x_payMult*IF(E$4&gt;=x_meritMonth,1+x_merit,1)</f>
        <v>244254.81411300678</v>
      </c>
      <c r="F25" s="11">
        <f>Inputs!$I$50*x_escalation*x_payMult*IF(F$4&gt;=x_meritMonth,1+x_merit,1)</f>
        <v>244254.81411300678</v>
      </c>
      <c r="G25" s="11">
        <f>Inputs!$I$50*x_escalation*x_payMult*IF(G$4&gt;=x_meritMonth,1+x_merit,1)</f>
        <v>244254.81411300678</v>
      </c>
      <c r="H25" s="11">
        <f>Inputs!$I$50*x_escalation*x_payMult*IF(H$4&gt;=x_meritMonth,1+x_merit,1)</f>
        <v>251338.20372228397</v>
      </c>
      <c r="I25" s="11">
        <f>Inputs!$I$50*x_escalation*x_payMult*IF(I$4&gt;=x_meritMonth,1+x_merit,1)</f>
        <v>251338.20372228397</v>
      </c>
      <c r="J25" s="11">
        <f>Inputs!$I$50*x_escalation*x_payMult*IF(J$4&gt;=x_meritMonth,1+x_merit,1)</f>
        <v>251338.20372228397</v>
      </c>
      <c r="K25" s="11">
        <f>Inputs!$I$50*x_escalation*x_payMult*IF(K$4&gt;=x_meritMonth,1+x_merit,1)</f>
        <v>251338.20372228397</v>
      </c>
      <c r="L25" s="11">
        <f>Inputs!$I$50*x_escalation*x_payMult*IF(L$4&gt;=x_meritMonth,1+x_merit,1)</f>
        <v>251338.20372228397</v>
      </c>
      <c r="M25" s="11">
        <f>Inputs!$I$50*x_escalation*x_payMult*IF(M$4&gt;=x_meritMonth,1+x_merit,1)</f>
        <v>251338.20372228397</v>
      </c>
      <c r="N25" s="11">
        <f>Inputs!$I$50*x_escalation*x_payMult*IF(N$4&gt;=x_meritMonth,1+x_merit,1)</f>
        <v>251338.20372228397</v>
      </c>
      <c r="O25" s="11">
        <f>Inputs!$I$50*x_escalation*x_payMult*IF(O$4&gt;=x_meritMonth,1+x_merit,1)</f>
        <v>251338.20372228397</v>
      </c>
      <c r="P25" s="11">
        <f>Inputs!$I$50*x_escalation*x_payMult*IF(P$4&gt;=x_meritMonth,1+x_merit,1)</f>
        <v>251338.20372228397</v>
      </c>
    </row>
    <row r="26" spans="2:17" x14ac:dyDescent="0.45">
      <c r="B26" t="s">
        <v>526</v>
      </c>
      <c r="C26" s="43" t="s">
        <v>303</v>
      </c>
      <c r="D26" s="15" t="s">
        <v>527</v>
      </c>
      <c r="E26" s="11">
        <f>Headcount!E33*E25/12</f>
        <v>226512.41581007591</v>
      </c>
      <c r="F26" s="11">
        <f>Headcount!F33*F25/12</f>
        <v>246866.98365282643</v>
      </c>
      <c r="G26" s="11">
        <f>Headcount!G33*G25/12</f>
        <v>246866.98365282643</v>
      </c>
      <c r="H26" s="11">
        <f>Headcount!H33*H25/12</f>
        <v>253781.76959180619</v>
      </c>
      <c r="I26" s="11">
        <f>Headcount!I33*I25/12</f>
        <v>253540.26383170174</v>
      </c>
      <c r="J26" s="11">
        <f>Headcount!J33*J25/12</f>
        <v>253545.93222575076</v>
      </c>
      <c r="K26" s="11">
        <f>Headcount!K33*K25/12</f>
        <v>274496.38479872618</v>
      </c>
      <c r="L26" s="11">
        <f>Headcount!L33*L25/12</f>
        <v>274499.070874931</v>
      </c>
      <c r="M26" s="11">
        <f>Headcount!M33*M25/12</f>
        <v>274254.5514594267</v>
      </c>
      <c r="N26" s="11">
        <f>Headcount!N33*N25/12</f>
        <v>274012.95090170047</v>
      </c>
      <c r="O26" s="11">
        <f>Headcount!O33*O25/12</f>
        <v>274018.59096383239</v>
      </c>
      <c r="P26" s="11">
        <f>Headcount!P33*P25/12</f>
        <v>274024.1965627952</v>
      </c>
      <c r="Q26" s="13">
        <f t="shared" ref="Q26:Q31" si="6">SUM(E26:P26)</f>
        <v>3126420.0943264002</v>
      </c>
    </row>
    <row r="27" spans="2:17" x14ac:dyDescent="0.45">
      <c r="B27" t="s">
        <v>528</v>
      </c>
      <c r="C27" s="43" t="s">
        <v>303</v>
      </c>
      <c r="D27" s="15" t="s">
        <v>392</v>
      </c>
      <c r="E27" s="11">
        <f t="shared" ref="E27:P27" si="7">E26*x_load</f>
        <v>55966.227903954241</v>
      </c>
      <c r="F27" s="11">
        <f t="shared" si="7"/>
        <v>60995.39320908716</v>
      </c>
      <c r="G27" s="11">
        <f t="shared" si="7"/>
        <v>60995.39320908716</v>
      </c>
      <c r="H27" s="11">
        <f t="shared" si="7"/>
        <v>62703.884482662572</v>
      </c>
      <c r="I27" s="11">
        <f t="shared" si="7"/>
        <v>62644.213729685143</v>
      </c>
      <c r="J27" s="11">
        <f t="shared" si="7"/>
        <v>62645.614264980577</v>
      </c>
      <c r="K27" s="11">
        <f t="shared" si="7"/>
        <v>67822.00955967934</v>
      </c>
      <c r="L27" s="11">
        <f t="shared" si="7"/>
        <v>67822.673229935608</v>
      </c>
      <c r="M27" s="11">
        <f t="shared" si="7"/>
        <v>67762.257869099354</v>
      </c>
      <c r="N27" s="11">
        <f t="shared" si="7"/>
        <v>67702.563693717966</v>
      </c>
      <c r="O27" s="11">
        <f t="shared" si="7"/>
        <v>67703.957228820844</v>
      </c>
      <c r="P27" s="11">
        <f t="shared" si="7"/>
        <v>67705.34224883384</v>
      </c>
      <c r="Q27" s="13">
        <f t="shared" si="6"/>
        <v>772469.53062954382</v>
      </c>
    </row>
    <row r="28" spans="2:17" x14ac:dyDescent="0.45">
      <c r="B28" t="s">
        <v>529</v>
      </c>
      <c r="C28" s="43" t="s">
        <v>303</v>
      </c>
      <c r="D28" s="15" t="s">
        <v>530</v>
      </c>
      <c r="E28" s="11">
        <f t="shared" ref="E28:P28" si="8">E26*x_sbcRate</f>
        <v>45302.483162015182</v>
      </c>
      <c r="F28" s="11">
        <f t="shared" si="8"/>
        <v>49373.396730565291</v>
      </c>
      <c r="G28" s="11">
        <f t="shared" si="8"/>
        <v>49373.396730565291</v>
      </c>
      <c r="H28" s="11">
        <f t="shared" si="8"/>
        <v>50756.353918361245</v>
      </c>
      <c r="I28" s="11">
        <f t="shared" si="8"/>
        <v>50708.052766340348</v>
      </c>
      <c r="J28" s="11">
        <f t="shared" si="8"/>
        <v>50709.186445150153</v>
      </c>
      <c r="K28" s="11">
        <f t="shared" si="8"/>
        <v>54899.276959745242</v>
      </c>
      <c r="L28" s="11">
        <f t="shared" si="8"/>
        <v>54899.814174986204</v>
      </c>
      <c r="M28" s="11">
        <f t="shared" si="8"/>
        <v>54850.910291885346</v>
      </c>
      <c r="N28" s="11">
        <f t="shared" si="8"/>
        <v>54802.590180340099</v>
      </c>
      <c r="O28" s="11">
        <f t="shared" si="8"/>
        <v>54803.718192766479</v>
      </c>
      <c r="P28" s="11">
        <f t="shared" si="8"/>
        <v>54804.839312559045</v>
      </c>
      <c r="Q28" s="13">
        <f t="shared" si="6"/>
        <v>625284.01886527985</v>
      </c>
    </row>
    <row r="29" spans="2:17" x14ac:dyDescent="0.45">
      <c r="B29" t="s">
        <v>531</v>
      </c>
      <c r="C29" s="43" t="s">
        <v>303</v>
      </c>
      <c r="D29" s="15" t="s">
        <v>532</v>
      </c>
      <c r="E29" s="11">
        <f>Headcount!E30*x_equipPerHire</f>
        <v>385</v>
      </c>
      <c r="F29" s="11">
        <f>Headcount!F30*x_equipPerHire</f>
        <v>3385.0000000000005</v>
      </c>
      <c r="G29" s="11">
        <f>Headcount!G30*x_equipPerHire</f>
        <v>385</v>
      </c>
      <c r="H29" s="11">
        <f>Headcount!H30*x_equipPerHire</f>
        <v>385</v>
      </c>
      <c r="I29" s="11">
        <f>Headcount!I30*x_equipPerHire</f>
        <v>385</v>
      </c>
      <c r="J29" s="11">
        <f>Headcount!J30*x_equipPerHire</f>
        <v>420.00000000000006</v>
      </c>
      <c r="K29" s="11">
        <f>Headcount!K30*x_equipPerHire</f>
        <v>3419.5916666666662</v>
      </c>
      <c r="L29" s="11">
        <f>Headcount!L30*x_equipPerHire</f>
        <v>419.18809722222221</v>
      </c>
      <c r="M29" s="11">
        <f>Headcount!M30*x_equipPerHire</f>
        <v>418.78923608796299</v>
      </c>
      <c r="N29" s="11">
        <f>Headcount!N30*x_equipPerHire</f>
        <v>418.80336166693672</v>
      </c>
      <c r="O29" s="11">
        <f>Headcount!O30*x_equipPerHire</f>
        <v>453.8125585586003</v>
      </c>
      <c r="P29" s="11">
        <f>Headcount!P30*x_equipPerHire</f>
        <v>453.40860650967585</v>
      </c>
      <c r="Q29" s="13">
        <f t="shared" si="6"/>
        <v>10928.593526712066</v>
      </c>
    </row>
    <row r="30" spans="2:17" x14ac:dyDescent="0.45">
      <c r="B30" t="s">
        <v>533</v>
      </c>
      <c r="C30" s="43" t="s">
        <v>303</v>
      </c>
      <c r="D30" s="15" t="s">
        <v>534</v>
      </c>
      <c r="E30" s="11">
        <f>Headcount!E33*x_softwarePerHead</f>
        <v>4451.3333333333339</v>
      </c>
      <c r="F30" s="11">
        <f>Headcount!F33*x_softwarePerHead</f>
        <v>4851.3333333333339</v>
      </c>
      <c r="G30" s="11">
        <f>Headcount!G33*x_softwarePerHead</f>
        <v>4851.3333333333339</v>
      </c>
      <c r="H30" s="11">
        <f>Headcount!H33*x_softwarePerHead</f>
        <v>4846.666666666667</v>
      </c>
      <c r="I30" s="11">
        <f>Headcount!I33*x_softwarePerHead</f>
        <v>4842.0544444444449</v>
      </c>
      <c r="J30" s="11">
        <f>Headcount!J33*x_softwarePerHead</f>
        <v>4842.1626981481486</v>
      </c>
      <c r="K30" s="11">
        <f>Headcount!K33*x_softwarePerHead</f>
        <v>5242.2696888919763</v>
      </c>
      <c r="L30" s="11">
        <f>Headcount!L33*x_softwarePerHead</f>
        <v>5242.3209869660132</v>
      </c>
      <c r="M30" s="11">
        <f>Headcount!M33*x_softwarePerHead</f>
        <v>5237.6512106365954</v>
      </c>
      <c r="N30" s="11">
        <f>Headcount!N33*x_softwarePerHead</f>
        <v>5233.0371779908974</v>
      </c>
      <c r="O30" s="11">
        <f>Headcount!O33*x_softwarePerHead</f>
        <v>5233.1448906180758</v>
      </c>
      <c r="P30" s="11">
        <f>Headcount!P33*x_softwarePerHead</f>
        <v>5233.2519450754689</v>
      </c>
      <c r="Q30" s="13">
        <f t="shared" si="6"/>
        <v>60106.559709438283</v>
      </c>
    </row>
    <row r="31" spans="2:17" x14ac:dyDescent="0.45">
      <c r="B31" t="s">
        <v>535</v>
      </c>
      <c r="C31" s="43" t="s">
        <v>303</v>
      </c>
      <c r="D31" s="15" t="s">
        <v>536</v>
      </c>
      <c r="E31" s="11">
        <f>Headcount!E33*x_te_rd</f>
        <v>2782.0833333333335</v>
      </c>
      <c r="F31" s="11">
        <f>Headcount!F33*x_te_rd</f>
        <v>3032.0833333333335</v>
      </c>
      <c r="G31" s="11">
        <f>Headcount!G33*x_te_rd</f>
        <v>3032.0833333333335</v>
      </c>
      <c r="H31" s="11">
        <f>Headcount!H33*x_te_rd</f>
        <v>3029.166666666667</v>
      </c>
      <c r="I31" s="11">
        <f>Headcount!I33*x_te_rd</f>
        <v>3026.2840277777777</v>
      </c>
      <c r="J31" s="11">
        <f>Headcount!J33*x_te_rd</f>
        <v>3026.351686342593</v>
      </c>
      <c r="K31" s="11">
        <f>Headcount!K33*x_te_rd</f>
        <v>3276.418555557485</v>
      </c>
      <c r="L31" s="11">
        <f>Headcount!L33*x_te_rd</f>
        <v>3276.4506168537582</v>
      </c>
      <c r="M31" s="11">
        <f>Headcount!M33*x_te_rd</f>
        <v>3273.5320066478725</v>
      </c>
      <c r="N31" s="11">
        <f>Headcount!N33*x_te_rd</f>
        <v>3270.6482362443107</v>
      </c>
      <c r="O31" s="11">
        <f>Headcount!O33*x_te_rd</f>
        <v>3270.7155566362976</v>
      </c>
      <c r="P31" s="11">
        <f>Headcount!P33*x_te_rd</f>
        <v>3270.7824656721682</v>
      </c>
      <c r="Q31" s="13">
        <f t="shared" si="6"/>
        <v>37566.599818398929</v>
      </c>
    </row>
    <row r="33" spans="2:17" x14ac:dyDescent="0.45">
      <c r="B33" s="4" t="s">
        <v>448</v>
      </c>
    </row>
    <row r="34" spans="2:17" x14ac:dyDescent="0.45">
      <c r="B34" t="s">
        <v>525</v>
      </c>
      <c r="C34" s="43" t="s">
        <v>314</v>
      </c>
      <c r="E34" s="11">
        <f>Inputs!$I$51*x_escalation*x_payMult*IF(E$4&gt;=x_meritMonth,1+x_merit,1)</f>
        <v>101691.5572862602</v>
      </c>
      <c r="F34" s="11">
        <f>Inputs!$I$51*x_escalation*x_payMult*IF(F$4&gt;=x_meritMonth,1+x_merit,1)</f>
        <v>101691.5572862602</v>
      </c>
      <c r="G34" s="11">
        <f>Inputs!$I$51*x_escalation*x_payMult*IF(G$4&gt;=x_meritMonth,1+x_merit,1)</f>
        <v>101691.5572862602</v>
      </c>
      <c r="H34" s="11">
        <f>Inputs!$I$51*x_escalation*x_payMult*IF(H$4&gt;=x_meritMonth,1+x_merit,1)</f>
        <v>104640.61244756174</v>
      </c>
      <c r="I34" s="11">
        <f>Inputs!$I$51*x_escalation*x_payMult*IF(I$4&gt;=x_meritMonth,1+x_merit,1)</f>
        <v>104640.61244756174</v>
      </c>
      <c r="J34" s="11">
        <f>Inputs!$I$51*x_escalation*x_payMult*IF(J$4&gt;=x_meritMonth,1+x_merit,1)</f>
        <v>104640.61244756174</v>
      </c>
      <c r="K34" s="11">
        <f>Inputs!$I$51*x_escalation*x_payMult*IF(K$4&gt;=x_meritMonth,1+x_merit,1)</f>
        <v>104640.61244756174</v>
      </c>
      <c r="L34" s="11">
        <f>Inputs!$I$51*x_escalation*x_payMult*IF(L$4&gt;=x_meritMonth,1+x_merit,1)</f>
        <v>104640.61244756174</v>
      </c>
      <c r="M34" s="11">
        <f>Inputs!$I$51*x_escalation*x_payMult*IF(M$4&gt;=x_meritMonth,1+x_merit,1)</f>
        <v>104640.61244756174</v>
      </c>
      <c r="N34" s="11">
        <f>Inputs!$I$51*x_escalation*x_payMult*IF(N$4&gt;=x_meritMonth,1+x_merit,1)</f>
        <v>104640.61244756174</v>
      </c>
      <c r="O34" s="11">
        <f>Inputs!$I$51*x_escalation*x_payMult*IF(O$4&gt;=x_meritMonth,1+x_merit,1)</f>
        <v>104640.61244756174</v>
      </c>
      <c r="P34" s="11">
        <f>Inputs!$I$51*x_escalation*x_payMult*IF(P$4&gt;=x_meritMonth,1+x_merit,1)</f>
        <v>104640.61244756174</v>
      </c>
    </row>
    <row r="35" spans="2:17" x14ac:dyDescent="0.45">
      <c r="B35" t="s">
        <v>526</v>
      </c>
      <c r="C35" s="43" t="s">
        <v>314</v>
      </c>
      <c r="D35" s="15" t="s">
        <v>527</v>
      </c>
      <c r="E35" s="11">
        <f>Headcount!E43*E34/12</f>
        <v>179937.56108707711</v>
      </c>
      <c r="F35" s="11">
        <f>Headcount!F43*F34/12</f>
        <v>179937.56108707711</v>
      </c>
      <c r="G35" s="11">
        <f>Headcount!G43*G34/12</f>
        <v>179838.69429527098</v>
      </c>
      <c r="H35" s="11">
        <f>Headcount!H43*H34/12</f>
        <v>193673.52043419782</v>
      </c>
      <c r="I35" s="11">
        <f>Headcount!I43*I34/12</f>
        <v>193675.880378751</v>
      </c>
      <c r="J35" s="11">
        <f>Headcount!J43*J34/12</f>
        <v>193576.47886184929</v>
      </c>
      <c r="K35" s="11">
        <f>Headcount!K43*K34/12</f>
        <v>202197.10117077257</v>
      </c>
      <c r="L35" s="11">
        <f>Headcount!L43*L34/12</f>
        <v>202199.39332428097</v>
      </c>
      <c r="M35" s="11">
        <f>Headcount!M43*M34/12</f>
        <v>202099.95233991649</v>
      </c>
      <c r="N35" s="11">
        <f>Headcount!N43*N34/12</f>
        <v>210720.56285330249</v>
      </c>
      <c r="O35" s="11">
        <f>Headcount!O43*O34/12</f>
        <v>210722.85639577478</v>
      </c>
      <c r="P35" s="11">
        <f>Headcount!P43*P34/12</f>
        <v>210623.41599327399</v>
      </c>
      <c r="Q35" s="13">
        <f t="shared" ref="Q35:Q40" si="9">SUM(E35:P35)</f>
        <v>2359202.978221545</v>
      </c>
    </row>
    <row r="36" spans="2:17" x14ac:dyDescent="0.45">
      <c r="B36" t="s">
        <v>528</v>
      </c>
      <c r="C36" s="43" t="s">
        <v>314</v>
      </c>
      <c r="D36" s="15" t="s">
        <v>392</v>
      </c>
      <c r="E36" s="11">
        <f t="shared" ref="E36:P36" si="10">E35*x_load</f>
        <v>44458.607340644878</v>
      </c>
      <c r="F36" s="11">
        <f t="shared" si="10"/>
        <v>44458.607340644878</v>
      </c>
      <c r="G36" s="11">
        <f t="shared" si="10"/>
        <v>44434.179534413743</v>
      </c>
      <c r="H36" s="11">
        <f t="shared" si="10"/>
        <v>47852.460293698823</v>
      </c>
      <c r="I36" s="11">
        <f t="shared" si="10"/>
        <v>47853.043384008604</v>
      </c>
      <c r="J36" s="11">
        <f t="shared" si="10"/>
        <v>47828.48345898628</v>
      </c>
      <c r="K36" s="11">
        <f t="shared" si="10"/>
        <v>49958.449320193839</v>
      </c>
      <c r="L36" s="11">
        <f t="shared" si="10"/>
        <v>49959.015660829886</v>
      </c>
      <c r="M36" s="11">
        <f t="shared" si="10"/>
        <v>49934.445984266982</v>
      </c>
      <c r="N36" s="11">
        <f t="shared" si="10"/>
        <v>52064.408931057129</v>
      </c>
      <c r="O36" s="11">
        <f t="shared" si="10"/>
        <v>52064.975614875555</v>
      </c>
      <c r="P36" s="11">
        <f t="shared" si="10"/>
        <v>52040.406082078342</v>
      </c>
      <c r="Q36" s="13">
        <f t="shared" si="9"/>
        <v>582907.08294569899</v>
      </c>
    </row>
    <row r="37" spans="2:17" x14ac:dyDescent="0.45">
      <c r="B37" t="s">
        <v>529</v>
      </c>
      <c r="C37" s="43" t="s">
        <v>314</v>
      </c>
      <c r="D37" s="15" t="s">
        <v>530</v>
      </c>
      <c r="E37" s="11">
        <f t="shared" ref="E37:P37" si="11">E35*x_sbcRate</f>
        <v>35987.512217415424</v>
      </c>
      <c r="F37" s="11">
        <f t="shared" si="11"/>
        <v>35987.512217415424</v>
      </c>
      <c r="G37" s="11">
        <f t="shared" si="11"/>
        <v>35967.738859054196</v>
      </c>
      <c r="H37" s="11">
        <f t="shared" si="11"/>
        <v>38734.704086839563</v>
      </c>
      <c r="I37" s="11">
        <f t="shared" si="11"/>
        <v>38735.176075750198</v>
      </c>
      <c r="J37" s="11">
        <f t="shared" si="11"/>
        <v>38715.295772369856</v>
      </c>
      <c r="K37" s="11">
        <f t="shared" si="11"/>
        <v>40439.420234154517</v>
      </c>
      <c r="L37" s="11">
        <f t="shared" si="11"/>
        <v>40439.878664856195</v>
      </c>
      <c r="M37" s="11">
        <f t="shared" si="11"/>
        <v>40419.990467983298</v>
      </c>
      <c r="N37" s="11">
        <f t="shared" si="11"/>
        <v>42144.112570660502</v>
      </c>
      <c r="O37" s="11">
        <f t="shared" si="11"/>
        <v>42144.571279154959</v>
      </c>
      <c r="P37" s="11">
        <f t="shared" si="11"/>
        <v>42124.683198654799</v>
      </c>
      <c r="Q37" s="13">
        <f t="shared" si="9"/>
        <v>471840.59564430895</v>
      </c>
    </row>
    <row r="38" spans="2:17" x14ac:dyDescent="0.45">
      <c r="B38" t="s">
        <v>531</v>
      </c>
      <c r="C38" s="43" t="s">
        <v>314</v>
      </c>
      <c r="D38" s="15" t="s">
        <v>532</v>
      </c>
      <c r="E38" s="11">
        <f>Headcount!E40*x_equipPerHire</f>
        <v>3700</v>
      </c>
      <c r="F38" s="11">
        <f>Headcount!F40*x_equipPerHire</f>
        <v>700</v>
      </c>
      <c r="G38" s="11">
        <f>Headcount!G40*x_equipPerHire</f>
        <v>700</v>
      </c>
      <c r="H38" s="11">
        <f>Headcount!H40*x_equipPerHire</f>
        <v>3700</v>
      </c>
      <c r="I38" s="11">
        <f>Headcount!I40*x_equipPerHire</f>
        <v>735.00000000000011</v>
      </c>
      <c r="J38" s="11">
        <f>Headcount!J40*x_equipPerHire</f>
        <v>734.5916666666667</v>
      </c>
      <c r="K38" s="11">
        <f>Headcount!K40*x_equipPerHire</f>
        <v>3734.1880972222225</v>
      </c>
      <c r="L38" s="11">
        <f>Headcount!L40*x_equipPerHire</f>
        <v>768.78923608796288</v>
      </c>
      <c r="M38" s="11">
        <f>Headcount!M40*x_equipPerHire</f>
        <v>768.39502833360336</v>
      </c>
      <c r="N38" s="11">
        <f>Headcount!N40*x_equipPerHire</f>
        <v>3768.0006557808224</v>
      </c>
      <c r="O38" s="11">
        <f>Headcount!O40*x_equipPerHire</f>
        <v>802.6061759309722</v>
      </c>
      <c r="P38" s="11">
        <f>Headcount!P40*x_equipPerHire</f>
        <v>802.21164496613699</v>
      </c>
      <c r="Q38" s="13">
        <f t="shared" si="9"/>
        <v>20913.782504988387</v>
      </c>
    </row>
    <row r="39" spans="2:17" x14ac:dyDescent="0.45">
      <c r="B39" t="s">
        <v>533</v>
      </c>
      <c r="C39" s="43" t="s">
        <v>314</v>
      </c>
      <c r="D39" s="15" t="s">
        <v>534</v>
      </c>
      <c r="E39" s="11">
        <f>Headcount!E43*x_softwarePerHead</f>
        <v>8493.3333333333339</v>
      </c>
      <c r="F39" s="11">
        <f>Headcount!F43*x_softwarePerHead</f>
        <v>8493.3333333333339</v>
      </c>
      <c r="G39" s="11">
        <f>Headcount!G43*x_softwarePerHead</f>
        <v>8488.6666666666679</v>
      </c>
      <c r="H39" s="11">
        <f>Headcount!H43*x_softwarePerHead</f>
        <v>8884.054444444444</v>
      </c>
      <c r="I39" s="11">
        <f>Headcount!I43*x_softwarePerHead</f>
        <v>8884.1626981481477</v>
      </c>
      <c r="J39" s="11">
        <f>Headcount!J43*x_softwarePerHead</f>
        <v>8879.6030222253103</v>
      </c>
      <c r="K39" s="11">
        <f>Headcount!K43*x_softwarePerHead</f>
        <v>9275.042098077125</v>
      </c>
      <c r="L39" s="11">
        <f>Headcount!L43*x_softwarePerHead</f>
        <v>9275.147242118077</v>
      </c>
      <c r="M39" s="11">
        <f>Headcount!M43*x_softwarePerHead</f>
        <v>9270.5857557717609</v>
      </c>
      <c r="N39" s="11">
        <f>Headcount!N43*x_softwarePerHead</f>
        <v>9666.0242905470514</v>
      </c>
      <c r="O39" s="11">
        <f>Headcount!O43*x_softwarePerHead</f>
        <v>9666.1294983015687</v>
      </c>
      <c r="P39" s="11">
        <f>Headcount!P43*x_softwarePerHead</f>
        <v>9661.5680386460954</v>
      </c>
      <c r="Q39" s="13">
        <f t="shared" si="9"/>
        <v>108937.6504216129</v>
      </c>
    </row>
    <row r="40" spans="2:17" x14ac:dyDescent="0.45">
      <c r="B40" t="s">
        <v>535</v>
      </c>
      <c r="C40" s="43" t="s">
        <v>314</v>
      </c>
      <c r="D40" s="15" t="s">
        <v>536</v>
      </c>
      <c r="E40" s="11">
        <f>Headcount!E43*x_te_sales</f>
        <v>25480</v>
      </c>
      <c r="F40" s="11">
        <f>Headcount!F43*x_te_sales</f>
        <v>25480</v>
      </c>
      <c r="G40" s="11">
        <f>Headcount!G43*x_te_sales</f>
        <v>25466</v>
      </c>
      <c r="H40" s="11">
        <f>Headcount!H43*x_te_sales</f>
        <v>26652.163333333334</v>
      </c>
      <c r="I40" s="11">
        <f>Headcount!I43*x_te_sales</f>
        <v>26652.488094444445</v>
      </c>
      <c r="J40" s="11">
        <f>Headcount!J43*x_te_sales</f>
        <v>26638.809066675927</v>
      </c>
      <c r="K40" s="11">
        <f>Headcount!K43*x_te_sales</f>
        <v>27825.126294231377</v>
      </c>
      <c r="L40" s="11">
        <f>Headcount!L43*x_te_sales</f>
        <v>27825.441726354231</v>
      </c>
      <c r="M40" s="11">
        <f>Headcount!M43*x_te_sales</f>
        <v>27811.757267315283</v>
      </c>
      <c r="N40" s="11">
        <f>Headcount!N43*x_te_sales</f>
        <v>28998.072871641154</v>
      </c>
      <c r="O40" s="11">
        <f>Headcount!O43*x_te_sales</f>
        <v>28998.38849490471</v>
      </c>
      <c r="P40" s="11">
        <f>Headcount!P43*x_te_sales</f>
        <v>28984.704115938286</v>
      </c>
      <c r="Q40" s="13">
        <f t="shared" si="9"/>
        <v>326812.95126483875</v>
      </c>
    </row>
    <row r="42" spans="2:17" x14ac:dyDescent="0.45">
      <c r="B42" s="4" t="s">
        <v>449</v>
      </c>
    </row>
    <row r="43" spans="2:17" x14ac:dyDescent="0.45">
      <c r="B43" t="s">
        <v>525</v>
      </c>
      <c r="C43" s="43" t="s">
        <v>314</v>
      </c>
      <c r="E43" s="11">
        <f>Inputs!$I$52*x_escalation*x_payMult*IF(E$4&gt;=x_meritMonth,1+x_merit,1)</f>
        <v>179942.45548271103</v>
      </c>
      <c r="F43" s="11">
        <f>Inputs!$I$52*x_escalation*x_payMult*IF(F$4&gt;=x_meritMonth,1+x_merit,1)</f>
        <v>179942.45548271103</v>
      </c>
      <c r="G43" s="11">
        <f>Inputs!$I$52*x_escalation*x_payMult*IF(G$4&gt;=x_meritMonth,1+x_merit,1)</f>
        <v>179942.45548271103</v>
      </c>
      <c r="H43" s="11">
        <f>Inputs!$I$52*x_escalation*x_payMult*IF(H$4&gt;=x_meritMonth,1+x_merit,1)</f>
        <v>185160.78669170963</v>
      </c>
      <c r="I43" s="11">
        <f>Inputs!$I$52*x_escalation*x_payMult*IF(I$4&gt;=x_meritMonth,1+x_merit,1)</f>
        <v>185160.78669170963</v>
      </c>
      <c r="J43" s="11">
        <f>Inputs!$I$52*x_escalation*x_payMult*IF(J$4&gt;=x_meritMonth,1+x_merit,1)</f>
        <v>185160.78669170963</v>
      </c>
      <c r="K43" s="11">
        <f>Inputs!$I$52*x_escalation*x_payMult*IF(K$4&gt;=x_meritMonth,1+x_merit,1)</f>
        <v>185160.78669170963</v>
      </c>
      <c r="L43" s="11">
        <f>Inputs!$I$52*x_escalation*x_payMult*IF(L$4&gt;=x_meritMonth,1+x_merit,1)</f>
        <v>185160.78669170963</v>
      </c>
      <c r="M43" s="11">
        <f>Inputs!$I$52*x_escalation*x_payMult*IF(M$4&gt;=x_meritMonth,1+x_merit,1)</f>
        <v>185160.78669170963</v>
      </c>
      <c r="N43" s="11">
        <f>Inputs!$I$52*x_escalation*x_payMult*IF(N$4&gt;=x_meritMonth,1+x_merit,1)</f>
        <v>185160.78669170963</v>
      </c>
      <c r="O43" s="11">
        <f>Inputs!$I$52*x_escalation*x_payMult*IF(O$4&gt;=x_meritMonth,1+x_merit,1)</f>
        <v>185160.78669170963</v>
      </c>
      <c r="P43" s="11">
        <f>Inputs!$I$52*x_escalation*x_payMult*IF(P$4&gt;=x_meritMonth,1+x_merit,1)</f>
        <v>185160.78669170963</v>
      </c>
    </row>
    <row r="44" spans="2:17" x14ac:dyDescent="0.45">
      <c r="B44" t="s">
        <v>526</v>
      </c>
      <c r="C44" s="43" t="s">
        <v>314</v>
      </c>
      <c r="D44" s="15" t="s">
        <v>527</v>
      </c>
      <c r="E44" s="11">
        <f>Headcount!E53*E43/12</f>
        <v>667136.65370215115</v>
      </c>
      <c r="F44" s="11">
        <f>Headcount!F53*F43/12</f>
        <v>682131.8583257104</v>
      </c>
      <c r="G44" s="11">
        <f>Headcount!G53*G43/12</f>
        <v>696777.17484138662</v>
      </c>
      <c r="H44" s="11">
        <f>Headcount!H53*H43/12</f>
        <v>747307.99213928927</v>
      </c>
      <c r="I44" s="11">
        <f>Headcount!I53*I43/12</f>
        <v>762388.47484601277</v>
      </c>
      <c r="J44" s="11">
        <f>Headcount!J53*J43/12</f>
        <v>777293.01858782442</v>
      </c>
      <c r="K44" s="11">
        <f>Headcount!K53*K43/12</f>
        <v>792199.49301075237</v>
      </c>
      <c r="L44" s="11">
        <f>Headcount!L53*L43/12</f>
        <v>807285.84182306693</v>
      </c>
      <c r="M44" s="11">
        <f>Headcount!M53*M43/12</f>
        <v>822372.12219748273</v>
      </c>
      <c r="N44" s="11">
        <f>Headcount!N53*N43/12</f>
        <v>837456.28231118515</v>
      </c>
      <c r="O44" s="11">
        <f>Headcount!O53*O43/12</f>
        <v>837108.30386751925</v>
      </c>
      <c r="P44" s="11">
        <f>Headcount!P53*P43/12</f>
        <v>836760.37514366733</v>
      </c>
      <c r="Q44" s="13">
        <f t="shared" ref="Q44:Q49" si="12">SUM(E44:P44)</f>
        <v>9266217.5907960478</v>
      </c>
    </row>
    <row r="45" spans="2:17" x14ac:dyDescent="0.45">
      <c r="B45" t="s">
        <v>528</v>
      </c>
      <c r="C45" s="43" t="s">
        <v>314</v>
      </c>
      <c r="D45" s="15" t="s">
        <v>392</v>
      </c>
      <c r="E45" s="11">
        <f t="shared" ref="E45:P45" si="13">E44*x_load</f>
        <v>164834.77018532212</v>
      </c>
      <c r="F45" s="11">
        <f t="shared" si="13"/>
        <v>168539.75490515406</v>
      </c>
      <c r="G45" s="11">
        <f t="shared" si="13"/>
        <v>172158.28998152324</v>
      </c>
      <c r="H45" s="11">
        <f t="shared" si="13"/>
        <v>184643.3417476865</v>
      </c>
      <c r="I45" s="11">
        <f t="shared" si="13"/>
        <v>188369.39680320185</v>
      </c>
      <c r="J45" s="11">
        <f t="shared" si="13"/>
        <v>192051.98121640281</v>
      </c>
      <c r="K45" s="11">
        <f t="shared" si="13"/>
        <v>195735.04265837496</v>
      </c>
      <c r="L45" s="11">
        <f t="shared" si="13"/>
        <v>199462.54709935223</v>
      </c>
      <c r="M45" s="11">
        <f t="shared" si="13"/>
        <v>203190.03463083238</v>
      </c>
      <c r="N45" s="11">
        <f t="shared" si="13"/>
        <v>206916.99829259937</v>
      </c>
      <c r="O45" s="11">
        <f t="shared" si="13"/>
        <v>206831.02048509498</v>
      </c>
      <c r="P45" s="11">
        <f t="shared" si="13"/>
        <v>206745.05496226132</v>
      </c>
      <c r="Q45" s="13">
        <f t="shared" si="12"/>
        <v>2289478.2329678056</v>
      </c>
    </row>
    <row r="46" spans="2:17" x14ac:dyDescent="0.45">
      <c r="B46" t="s">
        <v>529</v>
      </c>
      <c r="C46" s="43" t="s">
        <v>314</v>
      </c>
      <c r="D46" s="15" t="s">
        <v>530</v>
      </c>
      <c r="E46" s="11">
        <f t="shared" ref="E46:P46" si="14">E44*x_sbcRate</f>
        <v>133427.33074043025</v>
      </c>
      <c r="F46" s="11">
        <f t="shared" si="14"/>
        <v>136426.3716651421</v>
      </c>
      <c r="G46" s="11">
        <f t="shared" si="14"/>
        <v>139355.43496827732</v>
      </c>
      <c r="H46" s="11">
        <f t="shared" si="14"/>
        <v>149461.59842785785</v>
      </c>
      <c r="I46" s="11">
        <f t="shared" si="14"/>
        <v>152477.69496920257</v>
      </c>
      <c r="J46" s="11">
        <f t="shared" si="14"/>
        <v>155458.6037175649</v>
      </c>
      <c r="K46" s="11">
        <f t="shared" si="14"/>
        <v>158439.8986021505</v>
      </c>
      <c r="L46" s="11">
        <f t="shared" si="14"/>
        <v>161457.1683646134</v>
      </c>
      <c r="M46" s="11">
        <f t="shared" si="14"/>
        <v>164474.42443949656</v>
      </c>
      <c r="N46" s="11">
        <f t="shared" si="14"/>
        <v>167491.25646223704</v>
      </c>
      <c r="O46" s="11">
        <f t="shared" si="14"/>
        <v>167421.66077350386</v>
      </c>
      <c r="P46" s="11">
        <f t="shared" si="14"/>
        <v>167352.07502873347</v>
      </c>
      <c r="Q46" s="13">
        <f t="shared" si="12"/>
        <v>1853243.5181592098</v>
      </c>
    </row>
    <row r="47" spans="2:17" x14ac:dyDescent="0.45">
      <c r="B47" t="s">
        <v>531</v>
      </c>
      <c r="C47" s="43" t="s">
        <v>314</v>
      </c>
      <c r="D47" s="15" t="s">
        <v>532</v>
      </c>
      <c r="E47" s="11">
        <f>Headcount!E50*x_equipPerHire</f>
        <v>7470.0000000000009</v>
      </c>
      <c r="F47" s="11">
        <f>Headcount!F50*x_equipPerHire</f>
        <v>4470</v>
      </c>
      <c r="G47" s="11">
        <f>Headcount!G50*x_equipPerHire</f>
        <v>4470</v>
      </c>
      <c r="H47" s="11">
        <f>Headcount!H50*x_equipPerHire</f>
        <v>7470.0000000000009</v>
      </c>
      <c r="I47" s="11">
        <f>Headcount!I50*x_equipPerHire</f>
        <v>4540</v>
      </c>
      <c r="J47" s="11">
        <f>Headcount!J50*x_equipPerHire</f>
        <v>4574.1833333333334</v>
      </c>
      <c r="K47" s="11">
        <f>Headcount!K50*x_equipPerHire</f>
        <v>4607.9678611111112</v>
      </c>
      <c r="L47" s="11">
        <f>Headcount!L50*x_equipPerHire</f>
        <v>4676.3582360648152</v>
      </c>
      <c r="M47" s="11">
        <f>Headcount!M50*x_equipPerHire</f>
        <v>4709.7673899773918</v>
      </c>
      <c r="N47" s="11">
        <f>Headcount!N50*x_equipPerHire</f>
        <v>4743.1855759832115</v>
      </c>
      <c r="O47" s="11">
        <f>Headcount!O50*x_equipPerHire</f>
        <v>1776.6080359763705</v>
      </c>
      <c r="P47" s="11">
        <f>Headcount!P50*x_equipPerHire</f>
        <v>1810.4384549774022</v>
      </c>
      <c r="Q47" s="13">
        <f t="shared" si="12"/>
        <v>55318.508887423639</v>
      </c>
    </row>
    <row r="48" spans="2:17" x14ac:dyDescent="0.45">
      <c r="B48" t="s">
        <v>533</v>
      </c>
      <c r="C48" s="43" t="s">
        <v>314</v>
      </c>
      <c r="D48" s="15" t="s">
        <v>534</v>
      </c>
      <c r="E48" s="11">
        <f>Headcount!E53*x_softwarePerHead</f>
        <v>17796</v>
      </c>
      <c r="F48" s="11">
        <f>Headcount!F53*x_softwarePerHead</f>
        <v>18196</v>
      </c>
      <c r="G48" s="11">
        <f>Headcount!G53*x_softwarePerHead</f>
        <v>18586.666666666668</v>
      </c>
      <c r="H48" s="11">
        <f>Headcount!H53*x_softwarePerHead</f>
        <v>19372.775555555556</v>
      </c>
      <c r="I48" s="11">
        <f>Headcount!I53*x_softwarePerHead</f>
        <v>19763.713174074077</v>
      </c>
      <c r="J48" s="11">
        <f>Headcount!J53*x_softwarePerHead</f>
        <v>20150.089853709876</v>
      </c>
      <c r="K48" s="11">
        <f>Headcount!K53*x_softwarePerHead</f>
        <v>20536.516583194374</v>
      </c>
      <c r="L48" s="11">
        <f>Headcount!L53*x_softwarePerHead</f>
        <v>20927.606271205255</v>
      </c>
      <c r="M48" s="11">
        <f>Headcount!M53*x_softwarePerHead</f>
        <v>21318.694185072054</v>
      </c>
      <c r="N48" s="11">
        <f>Headcount!N53*x_softwarePerHead</f>
        <v>21709.727134539498</v>
      </c>
      <c r="O48" s="11">
        <f>Headcount!O53*x_softwarePerHead</f>
        <v>21700.706344773807</v>
      </c>
      <c r="P48" s="11">
        <f>Headcount!P53*x_softwarePerHead</f>
        <v>21691.686843915508</v>
      </c>
      <c r="Q48" s="13">
        <f t="shared" si="12"/>
        <v>241750.18261270667</v>
      </c>
    </row>
    <row r="49" spans="2:17" x14ac:dyDescent="0.45">
      <c r="B49" t="s">
        <v>535</v>
      </c>
      <c r="C49" s="43" t="s">
        <v>314</v>
      </c>
      <c r="D49" s="15" t="s">
        <v>536</v>
      </c>
      <c r="E49" s="11">
        <f>Headcount!E53*x_te_sales</f>
        <v>53388</v>
      </c>
      <c r="F49" s="11">
        <f>Headcount!F53*x_te_sales</f>
        <v>54588</v>
      </c>
      <c r="G49" s="11">
        <f>Headcount!G53*x_te_sales</f>
        <v>55760</v>
      </c>
      <c r="H49" s="11">
        <f>Headcount!H53*x_te_sales</f>
        <v>58118.326666666675</v>
      </c>
      <c r="I49" s="11">
        <f>Headcount!I53*x_te_sales</f>
        <v>59291.139522222227</v>
      </c>
      <c r="J49" s="11">
        <f>Headcount!J53*x_te_sales</f>
        <v>60450.269561129637</v>
      </c>
      <c r="K49" s="11">
        <f>Headcount!K53*x_te_sales</f>
        <v>61609.54974958313</v>
      </c>
      <c r="L49" s="11">
        <f>Headcount!L53*x_te_sales</f>
        <v>62782.818813615762</v>
      </c>
      <c r="M49" s="11">
        <f>Headcount!M53*x_te_sales</f>
        <v>63956.08255521617</v>
      </c>
      <c r="N49" s="11">
        <f>Headcount!N53*x_te_sales</f>
        <v>65129.181403618495</v>
      </c>
      <c r="O49" s="11">
        <f>Headcount!O53*x_te_sales</f>
        <v>65102.119034321418</v>
      </c>
      <c r="P49" s="11">
        <f>Headcount!P53*x_te_sales</f>
        <v>65075.060531746523</v>
      </c>
      <c r="Q49" s="13">
        <f t="shared" si="12"/>
        <v>725250.54783812002</v>
      </c>
    </row>
    <row r="51" spans="2:17" x14ac:dyDescent="0.45">
      <c r="B51" s="4" t="s">
        <v>450</v>
      </c>
    </row>
    <row r="52" spans="2:17" x14ac:dyDescent="0.45">
      <c r="B52" t="s">
        <v>525</v>
      </c>
      <c r="C52" s="43" t="s">
        <v>314</v>
      </c>
      <c r="E52" s="11">
        <f>Inputs!$I$53*x_escalation*x_payMult*IF(E$4&gt;=x_meritMonth,1+x_merit,1)</f>
        <v>179145.36819375106</v>
      </c>
      <c r="F52" s="11">
        <f>Inputs!$I$53*x_escalation*x_payMult*IF(F$4&gt;=x_meritMonth,1+x_merit,1)</f>
        <v>179145.36819375106</v>
      </c>
      <c r="G52" s="11">
        <f>Inputs!$I$53*x_escalation*x_payMult*IF(G$4&gt;=x_meritMonth,1+x_merit,1)</f>
        <v>179145.36819375106</v>
      </c>
      <c r="H52" s="11">
        <f>Inputs!$I$53*x_escalation*x_payMult*IF(H$4&gt;=x_meritMonth,1+x_merit,1)</f>
        <v>184340.58387136983</v>
      </c>
      <c r="I52" s="11">
        <f>Inputs!$I$53*x_escalation*x_payMult*IF(I$4&gt;=x_meritMonth,1+x_merit,1)</f>
        <v>184340.58387136983</v>
      </c>
      <c r="J52" s="11">
        <f>Inputs!$I$53*x_escalation*x_payMult*IF(J$4&gt;=x_meritMonth,1+x_merit,1)</f>
        <v>184340.58387136983</v>
      </c>
      <c r="K52" s="11">
        <f>Inputs!$I$53*x_escalation*x_payMult*IF(K$4&gt;=x_meritMonth,1+x_merit,1)</f>
        <v>184340.58387136983</v>
      </c>
      <c r="L52" s="11">
        <f>Inputs!$I$53*x_escalation*x_payMult*IF(L$4&gt;=x_meritMonth,1+x_merit,1)</f>
        <v>184340.58387136983</v>
      </c>
      <c r="M52" s="11">
        <f>Inputs!$I$53*x_escalation*x_payMult*IF(M$4&gt;=x_meritMonth,1+x_merit,1)</f>
        <v>184340.58387136983</v>
      </c>
      <c r="N52" s="11">
        <f>Inputs!$I$53*x_escalation*x_payMult*IF(N$4&gt;=x_meritMonth,1+x_merit,1)</f>
        <v>184340.58387136983</v>
      </c>
      <c r="O52" s="11">
        <f>Inputs!$I$53*x_escalation*x_payMult*IF(O$4&gt;=x_meritMonth,1+x_merit,1)</f>
        <v>184340.58387136983</v>
      </c>
      <c r="P52" s="11">
        <f>Inputs!$I$53*x_escalation*x_payMult*IF(P$4&gt;=x_meritMonth,1+x_merit,1)</f>
        <v>184340.58387136983</v>
      </c>
    </row>
    <row r="53" spans="2:17" x14ac:dyDescent="0.45">
      <c r="B53" t="s">
        <v>526</v>
      </c>
      <c r="C53" s="43" t="s">
        <v>314</v>
      </c>
      <c r="D53" s="15" t="s">
        <v>527</v>
      </c>
      <c r="E53" s="11">
        <f>Headcount!E63*E52/12</f>
        <v>105720.64853545115</v>
      </c>
      <c r="F53" s="11">
        <f>Headcount!F63*F52/12</f>
        <v>105720.64853545115</v>
      </c>
      <c r="G53" s="11">
        <f>Headcount!G63*G52/12</f>
        <v>120649.42921826373</v>
      </c>
      <c r="H53" s="11">
        <f>Headcount!H63*H52/12</f>
        <v>124148.26266559337</v>
      </c>
      <c r="I53" s="11">
        <f>Headcount!I63*I52/12</f>
        <v>123969.04265349622</v>
      </c>
      <c r="J53" s="11">
        <f>Headcount!J63*J52/12</f>
        <v>123791.91354154017</v>
      </c>
      <c r="K53" s="11">
        <f>Headcount!K63*K52/12</f>
        <v>123796.07094798745</v>
      </c>
      <c r="L53" s="11">
        <f>Headcount!L63*L52/12</f>
        <v>123800.17985135953</v>
      </c>
      <c r="M53" s="11">
        <f>Headcount!M63*M52/12</f>
        <v>139163.86523999862</v>
      </c>
      <c r="N53" s="11">
        <f>Headcount!N63*N52/12</f>
        <v>139163.74581561377</v>
      </c>
      <c r="O53" s="11">
        <f>Headcount!O63*O52/12</f>
        <v>138984.45627549148</v>
      </c>
      <c r="P53" s="11">
        <f>Headcount!P63*P52/12</f>
        <v>138807.3063838766</v>
      </c>
      <c r="Q53" s="13">
        <f t="shared" ref="Q53:Q58" si="15">SUM(E53:P53)</f>
        <v>1507715.5696641232</v>
      </c>
    </row>
    <row r="54" spans="2:17" x14ac:dyDescent="0.45">
      <c r="B54" t="s">
        <v>528</v>
      </c>
      <c r="C54" s="43" t="s">
        <v>314</v>
      </c>
      <c r="D54" s="15" t="s">
        <v>392</v>
      </c>
      <c r="E54" s="11">
        <f t="shared" ref="E54:P54" si="16">E53*x_load</f>
        <v>26121.243239266667</v>
      </c>
      <c r="F54" s="11">
        <f t="shared" si="16"/>
        <v>26121.243239266667</v>
      </c>
      <c r="G54" s="11">
        <f t="shared" si="16"/>
        <v>29809.816066651932</v>
      </c>
      <c r="H54" s="11">
        <f t="shared" si="16"/>
        <v>30674.300732584838</v>
      </c>
      <c r="I54" s="11">
        <f t="shared" si="16"/>
        <v>30630.019415792078</v>
      </c>
      <c r="J54" s="11">
        <f t="shared" si="16"/>
        <v>30586.254714361898</v>
      </c>
      <c r="K54" s="11">
        <f t="shared" si="16"/>
        <v>30587.281917907829</v>
      </c>
      <c r="L54" s="11">
        <f t="shared" si="16"/>
        <v>30588.297137412399</v>
      </c>
      <c r="M54" s="11">
        <f t="shared" si="16"/>
        <v>34384.325336706272</v>
      </c>
      <c r="N54" s="11">
        <f t="shared" si="16"/>
        <v>34384.295829571682</v>
      </c>
      <c r="O54" s="11">
        <f t="shared" si="16"/>
        <v>34339.997333935607</v>
      </c>
      <c r="P54" s="11">
        <f t="shared" si="16"/>
        <v>34296.227498309498</v>
      </c>
      <c r="Q54" s="13">
        <f t="shared" si="15"/>
        <v>372523.30246176728</v>
      </c>
    </row>
    <row r="55" spans="2:17" x14ac:dyDescent="0.45">
      <c r="B55" t="s">
        <v>529</v>
      </c>
      <c r="C55" s="43" t="s">
        <v>314</v>
      </c>
      <c r="D55" s="15" t="s">
        <v>530</v>
      </c>
      <c r="E55" s="11">
        <f t="shared" ref="E55:P55" si="17">E53*x_sbcRate</f>
        <v>21144.129707090233</v>
      </c>
      <c r="F55" s="11">
        <f t="shared" si="17"/>
        <v>21144.129707090233</v>
      </c>
      <c r="G55" s="11">
        <f t="shared" si="17"/>
        <v>24129.885843652748</v>
      </c>
      <c r="H55" s="11">
        <f t="shared" si="17"/>
        <v>24829.652533118675</v>
      </c>
      <c r="I55" s="11">
        <f t="shared" si="17"/>
        <v>24793.808530699243</v>
      </c>
      <c r="J55" s="11">
        <f t="shared" si="17"/>
        <v>24758.382708308036</v>
      </c>
      <c r="K55" s="11">
        <f t="shared" si="17"/>
        <v>24759.214189597493</v>
      </c>
      <c r="L55" s="11">
        <f t="shared" si="17"/>
        <v>24760.035970271907</v>
      </c>
      <c r="M55" s="11">
        <f t="shared" si="17"/>
        <v>27832.773047999726</v>
      </c>
      <c r="N55" s="11">
        <f t="shared" si="17"/>
        <v>27832.749163122757</v>
      </c>
      <c r="O55" s="11">
        <f t="shared" si="17"/>
        <v>27796.891255098297</v>
      </c>
      <c r="P55" s="11">
        <f t="shared" si="17"/>
        <v>27761.461276775321</v>
      </c>
      <c r="Q55" s="13">
        <f t="shared" si="15"/>
        <v>301543.11393282469</v>
      </c>
    </row>
    <row r="56" spans="2:17" x14ac:dyDescent="0.45">
      <c r="B56" t="s">
        <v>531</v>
      </c>
      <c r="C56" s="43" t="s">
        <v>314</v>
      </c>
      <c r="D56" s="15" t="s">
        <v>532</v>
      </c>
      <c r="E56" s="11">
        <f>Headcount!E60*x_equipPerHire</f>
        <v>245</v>
      </c>
      <c r="F56" s="11">
        <f>Headcount!F60*x_equipPerHire</f>
        <v>245</v>
      </c>
      <c r="G56" s="11">
        <f>Headcount!G60*x_equipPerHire</f>
        <v>3244.9999999999995</v>
      </c>
      <c r="H56" s="11">
        <f>Headcount!H60*x_equipPerHire</f>
        <v>245</v>
      </c>
      <c r="I56" s="11">
        <f>Headcount!I60*x_equipPerHire</f>
        <v>245</v>
      </c>
      <c r="J56" s="11">
        <f>Headcount!J60*x_equipPerHire</f>
        <v>245</v>
      </c>
      <c r="K56" s="11">
        <f>Headcount!K60*x_equipPerHire</f>
        <v>280</v>
      </c>
      <c r="L56" s="11">
        <f>Headcount!L60*x_equipPerHire</f>
        <v>279.5916666666667</v>
      </c>
      <c r="M56" s="11">
        <f>Headcount!M60*x_equipPerHire</f>
        <v>3279.1880972222225</v>
      </c>
      <c r="N56" s="11">
        <f>Headcount!N60*x_equipPerHire</f>
        <v>278.78923608796299</v>
      </c>
      <c r="O56" s="11">
        <f>Headcount!O60*x_equipPerHire</f>
        <v>278.80336166693678</v>
      </c>
      <c r="P56" s="11">
        <f>Headcount!P60*x_equipPerHire</f>
        <v>278.81255855860024</v>
      </c>
      <c r="Q56" s="13">
        <f t="shared" si="15"/>
        <v>9145.1849202023895</v>
      </c>
    </row>
    <row r="57" spans="2:17" x14ac:dyDescent="0.45">
      <c r="B57" t="s">
        <v>533</v>
      </c>
      <c r="C57" s="43" t="s">
        <v>314</v>
      </c>
      <c r="D57" s="15" t="s">
        <v>534</v>
      </c>
      <c r="E57" s="11">
        <f>Headcount!E63*x_softwarePerHead</f>
        <v>2832.666666666667</v>
      </c>
      <c r="F57" s="11">
        <f>Headcount!F63*x_softwarePerHead</f>
        <v>2832.666666666667</v>
      </c>
      <c r="G57" s="11">
        <f>Headcount!G63*x_softwarePerHead</f>
        <v>3232.666666666667</v>
      </c>
      <c r="H57" s="11">
        <f>Headcount!H63*x_softwarePerHead</f>
        <v>3232.666666666667</v>
      </c>
      <c r="I57" s="11">
        <f>Headcount!I63*x_softwarePerHead</f>
        <v>3228</v>
      </c>
      <c r="J57" s="11">
        <f>Headcount!J63*x_softwarePerHead</f>
        <v>3223.387777777778</v>
      </c>
      <c r="K57" s="11">
        <f>Headcount!K63*x_softwarePerHead</f>
        <v>3223.4960314814812</v>
      </c>
      <c r="L57" s="11">
        <f>Headcount!L63*x_softwarePerHead</f>
        <v>3223.6030222253085</v>
      </c>
      <c r="M57" s="11">
        <f>Headcount!M63*x_softwarePerHead</f>
        <v>3623.6543202993466</v>
      </c>
      <c r="N57" s="11">
        <f>Headcount!N63*x_softwarePerHead</f>
        <v>3623.6512106365949</v>
      </c>
      <c r="O57" s="11">
        <f>Headcount!O63*x_softwarePerHead</f>
        <v>3618.982733546452</v>
      </c>
      <c r="P57" s="11">
        <f>Headcount!P63*x_softwarePerHead</f>
        <v>3614.3699702477056</v>
      </c>
      <c r="Q57" s="13">
        <f t="shared" si="15"/>
        <v>39509.811732881331</v>
      </c>
    </row>
    <row r="58" spans="2:17" x14ac:dyDescent="0.45">
      <c r="B58" t="s">
        <v>535</v>
      </c>
      <c r="C58" s="43" t="s">
        <v>314</v>
      </c>
      <c r="D58" s="15" t="s">
        <v>536</v>
      </c>
      <c r="E58" s="11">
        <f>Headcount!E63*x_te_sales</f>
        <v>8498</v>
      </c>
      <c r="F58" s="11">
        <f>Headcount!F63*x_te_sales</f>
        <v>8498</v>
      </c>
      <c r="G58" s="11">
        <f>Headcount!G63*x_te_sales</f>
        <v>9698</v>
      </c>
      <c r="H58" s="11">
        <f>Headcount!H63*x_te_sales</f>
        <v>9698</v>
      </c>
      <c r="I58" s="11">
        <f>Headcount!I63*x_te_sales</f>
        <v>9684</v>
      </c>
      <c r="J58" s="11">
        <f>Headcount!J63*x_te_sales</f>
        <v>9670.1633333333339</v>
      </c>
      <c r="K58" s="11">
        <f>Headcount!K63*x_te_sales</f>
        <v>9670.4880944444449</v>
      </c>
      <c r="L58" s="11">
        <f>Headcount!L63*x_te_sales</f>
        <v>9670.8090666759254</v>
      </c>
      <c r="M58" s="11">
        <f>Headcount!M63*x_te_sales</f>
        <v>10870.962960898039</v>
      </c>
      <c r="N58" s="11">
        <f>Headcount!N63*x_te_sales</f>
        <v>10870.953631909784</v>
      </c>
      <c r="O58" s="11">
        <f>Headcount!O63*x_te_sales</f>
        <v>10856.948200639355</v>
      </c>
      <c r="P58" s="11">
        <f>Headcount!P63*x_te_sales</f>
        <v>10843.109910743116</v>
      </c>
      <c r="Q58" s="13">
        <f t="shared" si="15"/>
        <v>118529.43519864399</v>
      </c>
    </row>
    <row r="60" spans="2:17" x14ac:dyDescent="0.45">
      <c r="B60" s="4" t="s">
        <v>451</v>
      </c>
    </row>
    <row r="61" spans="2:17" x14ac:dyDescent="0.45">
      <c r="B61" t="s">
        <v>525</v>
      </c>
      <c r="C61" s="43" t="s">
        <v>324</v>
      </c>
      <c r="E61" s="11">
        <f>Inputs!$I$54*x_escalation*x_payMult*IF(E$4&gt;=x_meritMonth,1+x_merit,1)</f>
        <v>129264.4846898883</v>
      </c>
      <c r="F61" s="11">
        <f>Inputs!$I$54*x_escalation*x_payMult*IF(F$4&gt;=x_meritMonth,1+x_merit,1)</f>
        <v>129264.4846898883</v>
      </c>
      <c r="G61" s="11">
        <f>Inputs!$I$54*x_escalation*x_payMult*IF(G$4&gt;=x_meritMonth,1+x_merit,1)</f>
        <v>129264.4846898883</v>
      </c>
      <c r="H61" s="11">
        <f>Inputs!$I$54*x_escalation*x_payMult*IF(H$4&gt;=x_meritMonth,1+x_merit,1)</f>
        <v>133013.15474589504</v>
      </c>
      <c r="I61" s="11">
        <f>Inputs!$I$54*x_escalation*x_payMult*IF(I$4&gt;=x_meritMonth,1+x_merit,1)</f>
        <v>133013.15474589504</v>
      </c>
      <c r="J61" s="11">
        <f>Inputs!$I$54*x_escalation*x_payMult*IF(J$4&gt;=x_meritMonth,1+x_merit,1)</f>
        <v>133013.15474589504</v>
      </c>
      <c r="K61" s="11">
        <f>Inputs!$I$54*x_escalation*x_payMult*IF(K$4&gt;=x_meritMonth,1+x_merit,1)</f>
        <v>133013.15474589504</v>
      </c>
      <c r="L61" s="11">
        <f>Inputs!$I$54*x_escalation*x_payMult*IF(L$4&gt;=x_meritMonth,1+x_merit,1)</f>
        <v>133013.15474589504</v>
      </c>
      <c r="M61" s="11">
        <f>Inputs!$I$54*x_escalation*x_payMult*IF(M$4&gt;=x_meritMonth,1+x_merit,1)</f>
        <v>133013.15474589504</v>
      </c>
      <c r="N61" s="11">
        <f>Inputs!$I$54*x_escalation*x_payMult*IF(N$4&gt;=x_meritMonth,1+x_merit,1)</f>
        <v>133013.15474589504</v>
      </c>
      <c r="O61" s="11">
        <f>Inputs!$I$54*x_escalation*x_payMult*IF(O$4&gt;=x_meritMonth,1+x_merit,1)</f>
        <v>133013.15474589504</v>
      </c>
      <c r="P61" s="11">
        <f>Inputs!$I$54*x_escalation*x_payMult*IF(P$4&gt;=x_meritMonth,1+x_merit,1)</f>
        <v>133013.15474589504</v>
      </c>
    </row>
    <row r="62" spans="2:17" x14ac:dyDescent="0.45">
      <c r="B62" t="s">
        <v>526</v>
      </c>
      <c r="C62" s="43" t="s">
        <v>324</v>
      </c>
      <c r="D62" s="15" t="s">
        <v>527</v>
      </c>
      <c r="E62" s="11">
        <f>Headcount!E73*E61/12</f>
        <v>174237.75332157861</v>
      </c>
      <c r="F62" s="11">
        <f>Headcount!F73*F61/12</f>
        <v>174237.75332157861</v>
      </c>
      <c r="G62" s="11">
        <f>Headcount!G73*G61/12</f>
        <v>174112.07951701901</v>
      </c>
      <c r="H62" s="11">
        <f>Headcount!H73*H61/12</f>
        <v>190117.9497543023</v>
      </c>
      <c r="I62" s="11">
        <f>Headcount!I73*I61/12</f>
        <v>190120.9495806862</v>
      </c>
      <c r="J62" s="11">
        <f>Headcount!J73*J61/12</f>
        <v>189994.59606420377</v>
      </c>
      <c r="K62" s="11">
        <f>Headcount!K73*K61/12</f>
        <v>200952.63752021443</v>
      </c>
      <c r="L62" s="11">
        <f>Headcount!L73*L61/12</f>
        <v>200955.55117450395</v>
      </c>
      <c r="M62" s="11">
        <f>Headcount!M73*M61/12</f>
        <v>200829.14748924275</v>
      </c>
      <c r="N62" s="11">
        <f>Headcount!N73*N61/12</f>
        <v>200702.74438928397</v>
      </c>
      <c r="O62" s="11">
        <f>Headcount!O73*O61/12</f>
        <v>200705.65980914482</v>
      </c>
      <c r="P62" s="11">
        <f>Headcount!P73*P61/12</f>
        <v>200708.57520840736</v>
      </c>
      <c r="Q62" s="13">
        <f t="shared" ref="Q62:Q67" si="18">SUM(E62:P62)</f>
        <v>2297675.3971501659</v>
      </c>
    </row>
    <row r="63" spans="2:17" x14ac:dyDescent="0.45">
      <c r="B63" t="s">
        <v>528</v>
      </c>
      <c r="C63" s="43" t="s">
        <v>324</v>
      </c>
      <c r="D63" s="15" t="s">
        <v>392</v>
      </c>
      <c r="E63" s="11">
        <f t="shared" ref="E63:P63" si="19">E62*x_load</f>
        <v>43050.310407905941</v>
      </c>
      <c r="F63" s="11">
        <f t="shared" si="19"/>
        <v>43050.310407905941</v>
      </c>
      <c r="G63" s="11">
        <f t="shared" si="19"/>
        <v>43019.25917937886</v>
      </c>
      <c r="H63" s="11">
        <f t="shared" si="19"/>
        <v>46973.957107513656</v>
      </c>
      <c r="I63" s="11">
        <f t="shared" si="19"/>
        <v>46974.698298527284</v>
      </c>
      <c r="J63" s="11">
        <f t="shared" si="19"/>
        <v>46943.479128158047</v>
      </c>
      <c r="K63" s="11">
        <f t="shared" si="19"/>
        <v>49650.969767533374</v>
      </c>
      <c r="L63" s="11">
        <f t="shared" si="19"/>
        <v>49651.689667320839</v>
      </c>
      <c r="M63" s="11">
        <f t="shared" si="19"/>
        <v>49620.458101351585</v>
      </c>
      <c r="N63" s="11">
        <f t="shared" si="19"/>
        <v>49589.226679997664</v>
      </c>
      <c r="O63" s="11">
        <f t="shared" si="19"/>
        <v>49589.947016018916</v>
      </c>
      <c r="P63" s="11">
        <f t="shared" si="19"/>
        <v>49590.667346950773</v>
      </c>
      <c r="Q63" s="13">
        <f t="shared" si="18"/>
        <v>567704.97310856287</v>
      </c>
    </row>
    <row r="64" spans="2:17" x14ac:dyDescent="0.45">
      <c r="B64" t="s">
        <v>529</v>
      </c>
      <c r="C64" s="43" t="s">
        <v>324</v>
      </c>
      <c r="D64" s="15" t="s">
        <v>530</v>
      </c>
      <c r="E64" s="11">
        <f t="shared" ref="E64:P64" si="20">E62*x_sbcRate</f>
        <v>34847.55066431572</v>
      </c>
      <c r="F64" s="11">
        <f t="shared" si="20"/>
        <v>34847.55066431572</v>
      </c>
      <c r="G64" s="11">
        <f t="shared" si="20"/>
        <v>34822.415903403802</v>
      </c>
      <c r="H64" s="11">
        <f t="shared" si="20"/>
        <v>38023.589950860463</v>
      </c>
      <c r="I64" s="11">
        <f t="shared" si="20"/>
        <v>38024.189916137242</v>
      </c>
      <c r="J64" s="11">
        <f t="shared" si="20"/>
        <v>37998.919212840752</v>
      </c>
      <c r="K64" s="11">
        <f t="shared" si="20"/>
        <v>40190.52750404289</v>
      </c>
      <c r="L64" s="11">
        <f t="shared" si="20"/>
        <v>40191.110234900792</v>
      </c>
      <c r="M64" s="11">
        <f t="shared" si="20"/>
        <v>40165.82949784855</v>
      </c>
      <c r="N64" s="11">
        <f t="shared" si="20"/>
        <v>40140.548877856796</v>
      </c>
      <c r="O64" s="11">
        <f t="shared" si="20"/>
        <v>40141.131961828971</v>
      </c>
      <c r="P64" s="11">
        <f t="shared" si="20"/>
        <v>40141.715041681477</v>
      </c>
      <c r="Q64" s="13">
        <f t="shared" si="18"/>
        <v>459535.07943003322</v>
      </c>
    </row>
    <row r="65" spans="2:17" x14ac:dyDescent="0.45">
      <c r="B65" t="s">
        <v>531</v>
      </c>
      <c r="C65" s="43" t="s">
        <v>324</v>
      </c>
      <c r="D65" s="15" t="s">
        <v>532</v>
      </c>
      <c r="E65" s="11">
        <f>Headcount!E70*x_equipPerHire</f>
        <v>3525</v>
      </c>
      <c r="F65" s="11">
        <f>Headcount!F70*x_equipPerHire</f>
        <v>525</v>
      </c>
      <c r="G65" s="11">
        <f>Headcount!G70*x_equipPerHire</f>
        <v>525</v>
      </c>
      <c r="H65" s="11">
        <f>Headcount!H70*x_equipPerHire</f>
        <v>3525</v>
      </c>
      <c r="I65" s="11">
        <f>Headcount!I70*x_equipPerHire</f>
        <v>560</v>
      </c>
      <c r="J65" s="11">
        <f>Headcount!J70*x_equipPerHire</f>
        <v>559.5916666666667</v>
      </c>
      <c r="K65" s="11">
        <f>Headcount!K70*x_equipPerHire</f>
        <v>3559.1880972222225</v>
      </c>
      <c r="L65" s="11">
        <f>Headcount!L70*x_equipPerHire</f>
        <v>593.78923608796299</v>
      </c>
      <c r="M65" s="11">
        <f>Headcount!M70*x_equipPerHire</f>
        <v>593.39502833360348</v>
      </c>
      <c r="N65" s="11">
        <f>Headcount!N70*x_equipPerHire</f>
        <v>593.00065578082251</v>
      </c>
      <c r="O65" s="11">
        <f>Headcount!O70*x_equipPerHire</f>
        <v>627.6061759309722</v>
      </c>
      <c r="P65" s="11">
        <f>Headcount!P70*x_equipPerHire</f>
        <v>627.21164496613699</v>
      </c>
      <c r="Q65" s="13">
        <f t="shared" si="18"/>
        <v>15813.782504988389</v>
      </c>
    </row>
    <row r="66" spans="2:17" x14ac:dyDescent="0.45">
      <c r="B66" t="s">
        <v>533</v>
      </c>
      <c r="C66" s="43" t="s">
        <v>324</v>
      </c>
      <c r="D66" s="15" t="s">
        <v>534</v>
      </c>
      <c r="E66" s="11">
        <f>Headcount!E73*x_softwarePerHead</f>
        <v>6470</v>
      </c>
      <c r="F66" s="11">
        <f>Headcount!F73*x_softwarePerHead</f>
        <v>6470</v>
      </c>
      <c r="G66" s="11">
        <f>Headcount!G73*x_softwarePerHead</f>
        <v>6465.3333333333339</v>
      </c>
      <c r="H66" s="11">
        <f>Headcount!H73*x_softwarePerHead</f>
        <v>6860.721111111111</v>
      </c>
      <c r="I66" s="11">
        <f>Headcount!I73*x_softwarePerHead</f>
        <v>6860.8293648148147</v>
      </c>
      <c r="J66" s="11">
        <f>Headcount!J73*x_softwarePerHead</f>
        <v>6856.2696888919763</v>
      </c>
      <c r="K66" s="11">
        <f>Headcount!K73*x_softwarePerHead</f>
        <v>7251.708764743792</v>
      </c>
      <c r="L66" s="11">
        <f>Headcount!L73*x_softwarePerHead</f>
        <v>7251.813908784743</v>
      </c>
      <c r="M66" s="11">
        <f>Headcount!M73*x_softwarePerHead</f>
        <v>7247.2524224384269</v>
      </c>
      <c r="N66" s="11">
        <f>Headcount!N73*x_softwarePerHead</f>
        <v>7242.6909572137192</v>
      </c>
      <c r="O66" s="11">
        <f>Headcount!O73*x_softwarePerHead</f>
        <v>7242.7961649682375</v>
      </c>
      <c r="P66" s="11">
        <f>Headcount!P73*x_softwarePerHead</f>
        <v>7242.9013719794302</v>
      </c>
      <c r="Q66" s="13">
        <f t="shared" si="18"/>
        <v>83462.317088279597</v>
      </c>
    </row>
    <row r="67" spans="2:17" x14ac:dyDescent="0.45">
      <c r="B67" t="s">
        <v>535</v>
      </c>
      <c r="C67" s="43" t="s">
        <v>324</v>
      </c>
      <c r="D67" s="15" t="s">
        <v>536</v>
      </c>
      <c r="E67" s="11">
        <f>Headcount!E73*x_te_mkt</f>
        <v>8087.5</v>
      </c>
      <c r="F67" s="11">
        <f>Headcount!F73*x_te_mkt</f>
        <v>8087.5</v>
      </c>
      <c r="G67" s="11">
        <f>Headcount!G73*x_te_mkt</f>
        <v>8081.666666666667</v>
      </c>
      <c r="H67" s="11">
        <f>Headcount!H73*x_te_mkt</f>
        <v>8575.9013888888894</v>
      </c>
      <c r="I67" s="11">
        <f>Headcount!I73*x_te_mkt</f>
        <v>8576.0367060185181</v>
      </c>
      <c r="J67" s="11">
        <f>Headcount!J73*x_te_mkt</f>
        <v>8570.33711111497</v>
      </c>
      <c r="K67" s="11">
        <f>Headcount!K73*x_te_mkt</f>
        <v>9064.6359559297398</v>
      </c>
      <c r="L67" s="11">
        <f>Headcount!L73*x_te_mkt</f>
        <v>9064.7673859809292</v>
      </c>
      <c r="M67" s="11">
        <f>Headcount!M73*x_te_mkt</f>
        <v>9059.0655280480332</v>
      </c>
      <c r="N67" s="11">
        <f>Headcount!N73*x_te_mkt</f>
        <v>9053.3636965171481</v>
      </c>
      <c r="O67" s="11">
        <f>Headcount!O73*x_te_mkt</f>
        <v>9053.4952062102966</v>
      </c>
      <c r="P67" s="11">
        <f>Headcount!P73*x_te_mkt</f>
        <v>9053.6267149742871</v>
      </c>
      <c r="Q67" s="13">
        <f t="shared" si="18"/>
        <v>104327.89636034948</v>
      </c>
    </row>
    <row r="69" spans="2:17" x14ac:dyDescent="0.45">
      <c r="B69" s="4" t="s">
        <v>452</v>
      </c>
    </row>
    <row r="70" spans="2:17" x14ac:dyDescent="0.45">
      <c r="B70" t="s">
        <v>525</v>
      </c>
      <c r="C70" s="43" t="s">
        <v>324</v>
      </c>
      <c r="E70" s="11">
        <f>Inputs!$I$55*x_escalation*x_payMult*IF(E$4&gt;=x_meritMonth,1+x_merit,1)</f>
        <v>178883.16842764581</v>
      </c>
      <c r="F70" s="11">
        <f>Inputs!$I$55*x_escalation*x_payMult*IF(F$4&gt;=x_meritMonth,1+x_merit,1)</f>
        <v>178883.16842764581</v>
      </c>
      <c r="G70" s="11">
        <f>Inputs!$I$55*x_escalation*x_payMult*IF(G$4&gt;=x_meritMonth,1+x_merit,1)</f>
        <v>178883.16842764581</v>
      </c>
      <c r="H70" s="11">
        <f>Inputs!$I$55*x_escalation*x_payMult*IF(H$4&gt;=x_meritMonth,1+x_merit,1)</f>
        <v>184070.78031204751</v>
      </c>
      <c r="I70" s="11">
        <f>Inputs!$I$55*x_escalation*x_payMult*IF(I$4&gt;=x_meritMonth,1+x_merit,1)</f>
        <v>184070.78031204751</v>
      </c>
      <c r="J70" s="11">
        <f>Inputs!$I$55*x_escalation*x_payMult*IF(J$4&gt;=x_meritMonth,1+x_merit,1)</f>
        <v>184070.78031204751</v>
      </c>
      <c r="K70" s="11">
        <f>Inputs!$I$55*x_escalation*x_payMult*IF(K$4&gt;=x_meritMonth,1+x_merit,1)</f>
        <v>184070.78031204751</v>
      </c>
      <c r="L70" s="11">
        <f>Inputs!$I$55*x_escalation*x_payMult*IF(L$4&gt;=x_meritMonth,1+x_merit,1)</f>
        <v>184070.78031204751</v>
      </c>
      <c r="M70" s="11">
        <f>Inputs!$I$55*x_escalation*x_payMult*IF(M$4&gt;=x_meritMonth,1+x_merit,1)</f>
        <v>184070.78031204751</v>
      </c>
      <c r="N70" s="11">
        <f>Inputs!$I$55*x_escalation*x_payMult*IF(N$4&gt;=x_meritMonth,1+x_merit,1)</f>
        <v>184070.78031204751</v>
      </c>
      <c r="O70" s="11">
        <f>Inputs!$I$55*x_escalation*x_payMult*IF(O$4&gt;=x_meritMonth,1+x_merit,1)</f>
        <v>184070.78031204751</v>
      </c>
      <c r="P70" s="11">
        <f>Inputs!$I$55*x_escalation*x_payMult*IF(P$4&gt;=x_meritMonth,1+x_merit,1)</f>
        <v>184070.78031204751</v>
      </c>
    </row>
    <row r="71" spans="2:17" x14ac:dyDescent="0.45">
      <c r="B71" t="s">
        <v>526</v>
      </c>
      <c r="C71" s="43" t="s">
        <v>324</v>
      </c>
      <c r="D71" s="15" t="s">
        <v>527</v>
      </c>
      <c r="E71" s="11">
        <f>Headcount!E83*E70/12</f>
        <v>150808.44893830697</v>
      </c>
      <c r="F71" s="11">
        <f>Headcount!F83*F70/12</f>
        <v>165715.37964061077</v>
      </c>
      <c r="G71" s="11">
        <f>Headcount!G83*G70/12</f>
        <v>165715.37964061077</v>
      </c>
      <c r="H71" s="11">
        <f>Headcount!H83*H70/12</f>
        <v>170342.16794710731</v>
      </c>
      <c r="I71" s="11">
        <f>Headcount!I83*I70/12</f>
        <v>170165.29808389544</v>
      </c>
      <c r="J71" s="11">
        <f>Headcount!J83*J70/12</f>
        <v>170169.44940550218</v>
      </c>
      <c r="K71" s="11">
        <f>Headcount!K83*K70/12</f>
        <v>170173.55229502352</v>
      </c>
      <c r="L71" s="11">
        <f>Headcount!L83*L70/12</f>
        <v>185514.75117030178</v>
      </c>
      <c r="M71" s="11">
        <f>Headcount!M83*M70/12</f>
        <v>185514.6319207082</v>
      </c>
      <c r="N71" s="11">
        <f>Headcount!N83*N70/12</f>
        <v>185335.60479136414</v>
      </c>
      <c r="O71" s="11">
        <f>Headcount!O83*O70/12</f>
        <v>185158.71417890684</v>
      </c>
      <c r="P71" s="11">
        <f>Headcount!P83*P70/12</f>
        <v>185162.86794380643</v>
      </c>
      <c r="Q71" s="13">
        <f t="shared" ref="Q71:Q76" si="21">SUM(E71:P71)</f>
        <v>2089776.2459561443</v>
      </c>
    </row>
    <row r="72" spans="2:17" x14ac:dyDescent="0.45">
      <c r="B72" t="s">
        <v>528</v>
      </c>
      <c r="C72" s="43" t="s">
        <v>324</v>
      </c>
      <c r="D72" s="15" t="s">
        <v>392</v>
      </c>
      <c r="E72" s="11">
        <f t="shared" ref="E72:P72" si="22">E71*x_load</f>
        <v>37261.445439705967</v>
      </c>
      <c r="F72" s="11">
        <f t="shared" si="22"/>
        <v>40944.619618260091</v>
      </c>
      <c r="G72" s="11">
        <f t="shared" si="22"/>
        <v>40944.619618260091</v>
      </c>
      <c r="H72" s="11">
        <f t="shared" si="22"/>
        <v>42087.79708117609</v>
      </c>
      <c r="I72" s="11">
        <f t="shared" si="22"/>
        <v>42044.096434399369</v>
      </c>
      <c r="J72" s="11">
        <f t="shared" si="22"/>
        <v>42045.122134515259</v>
      </c>
      <c r="K72" s="11">
        <f t="shared" si="22"/>
        <v>42046.135868129793</v>
      </c>
      <c r="L72" s="11">
        <f t="shared" si="22"/>
        <v>45836.608145347527</v>
      </c>
      <c r="M72" s="11">
        <f t="shared" si="22"/>
        <v>45836.578681400009</v>
      </c>
      <c r="N72" s="11">
        <f t="shared" si="22"/>
        <v>45792.345021686357</v>
      </c>
      <c r="O72" s="11">
        <f t="shared" si="22"/>
        <v>45748.639248228203</v>
      </c>
      <c r="P72" s="11">
        <f t="shared" si="22"/>
        <v>45749.665552027916</v>
      </c>
      <c r="Q72" s="13">
        <f t="shared" si="21"/>
        <v>516337.67284313665</v>
      </c>
    </row>
    <row r="73" spans="2:17" x14ac:dyDescent="0.45">
      <c r="B73" t="s">
        <v>529</v>
      </c>
      <c r="C73" s="43" t="s">
        <v>324</v>
      </c>
      <c r="D73" s="15" t="s">
        <v>530</v>
      </c>
      <c r="E73" s="11">
        <f t="shared" ref="E73:P73" si="23">E71*x_sbcRate</f>
        <v>30161.689787661395</v>
      </c>
      <c r="F73" s="11">
        <f t="shared" si="23"/>
        <v>33143.075928122154</v>
      </c>
      <c r="G73" s="11">
        <f t="shared" si="23"/>
        <v>33143.075928122154</v>
      </c>
      <c r="H73" s="11">
        <f t="shared" si="23"/>
        <v>34068.433589421467</v>
      </c>
      <c r="I73" s="11">
        <f t="shared" si="23"/>
        <v>34033.059616779086</v>
      </c>
      <c r="J73" s="11">
        <f t="shared" si="23"/>
        <v>34033.88988110044</v>
      </c>
      <c r="K73" s="11">
        <f t="shared" si="23"/>
        <v>34034.710459004702</v>
      </c>
      <c r="L73" s="11">
        <f t="shared" si="23"/>
        <v>37102.950234060358</v>
      </c>
      <c r="M73" s="11">
        <f t="shared" si="23"/>
        <v>37102.92638414164</v>
      </c>
      <c r="N73" s="11">
        <f t="shared" si="23"/>
        <v>37067.120958272826</v>
      </c>
      <c r="O73" s="11">
        <f t="shared" si="23"/>
        <v>37031.74283578137</v>
      </c>
      <c r="P73" s="11">
        <f t="shared" si="23"/>
        <v>37032.57358876129</v>
      </c>
      <c r="Q73" s="13">
        <f t="shared" si="21"/>
        <v>417955.24919122894</v>
      </c>
    </row>
    <row r="74" spans="2:17" x14ac:dyDescent="0.45">
      <c r="B74" t="s">
        <v>531</v>
      </c>
      <c r="C74" s="43" t="s">
        <v>324</v>
      </c>
      <c r="D74" s="15" t="s">
        <v>532</v>
      </c>
      <c r="E74" s="11">
        <f>Headcount!E80*x_equipPerHire</f>
        <v>350</v>
      </c>
      <c r="F74" s="11">
        <f>Headcount!F80*x_equipPerHire</f>
        <v>3350</v>
      </c>
      <c r="G74" s="11">
        <f>Headcount!G80*x_equipPerHire</f>
        <v>350</v>
      </c>
      <c r="H74" s="11">
        <f>Headcount!H80*x_equipPerHire</f>
        <v>350</v>
      </c>
      <c r="I74" s="11">
        <f>Headcount!I80*x_equipPerHire</f>
        <v>350</v>
      </c>
      <c r="J74" s="11">
        <f>Headcount!J80*x_equipPerHire</f>
        <v>385</v>
      </c>
      <c r="K74" s="11">
        <f>Headcount!K80*x_equipPerHire</f>
        <v>384.5916666666667</v>
      </c>
      <c r="L74" s="11">
        <f>Headcount!L80*x_equipPerHire</f>
        <v>3384.188097222222</v>
      </c>
      <c r="M74" s="11">
        <f>Headcount!M80*x_equipPerHire</f>
        <v>383.78923608796293</v>
      </c>
      <c r="N74" s="11">
        <f>Headcount!N80*x_equipPerHire</f>
        <v>383.80336166693667</v>
      </c>
      <c r="O74" s="11">
        <f>Headcount!O80*x_equipPerHire</f>
        <v>383.81255855860024</v>
      </c>
      <c r="P74" s="11">
        <f>Headcount!P80*x_equipPerHire</f>
        <v>418.8169398430091</v>
      </c>
      <c r="Q74" s="13">
        <f t="shared" si="21"/>
        <v>10474.001860045399</v>
      </c>
    </row>
    <row r="75" spans="2:17" x14ac:dyDescent="0.45">
      <c r="B75" t="s">
        <v>533</v>
      </c>
      <c r="C75" s="43" t="s">
        <v>324</v>
      </c>
      <c r="D75" s="15" t="s">
        <v>534</v>
      </c>
      <c r="E75" s="11">
        <f>Headcount!E83*x_softwarePerHead</f>
        <v>4046.666666666667</v>
      </c>
      <c r="F75" s="11">
        <f>Headcount!F83*x_softwarePerHead</f>
        <v>4446.666666666667</v>
      </c>
      <c r="G75" s="11">
        <f>Headcount!G83*x_softwarePerHead</f>
        <v>4446.666666666667</v>
      </c>
      <c r="H75" s="11">
        <f>Headcount!H83*x_softwarePerHead</f>
        <v>4442</v>
      </c>
      <c r="I75" s="11">
        <f>Headcount!I83*x_softwarePerHead</f>
        <v>4437.387777777778</v>
      </c>
      <c r="J75" s="11">
        <f>Headcount!J83*x_softwarePerHead</f>
        <v>4437.4960314814816</v>
      </c>
      <c r="K75" s="11">
        <f>Headcount!K83*x_softwarePerHead</f>
        <v>4437.6030222253085</v>
      </c>
      <c r="L75" s="11">
        <f>Headcount!L83*x_softwarePerHead</f>
        <v>4837.6543202993462</v>
      </c>
      <c r="M75" s="11">
        <f>Headcount!M83*x_softwarePerHead</f>
        <v>4837.6512106365944</v>
      </c>
      <c r="N75" s="11">
        <f>Headcount!N83*x_softwarePerHead</f>
        <v>4832.9827335464515</v>
      </c>
      <c r="O75" s="11">
        <f>Headcount!O83*x_softwarePerHead</f>
        <v>4828.3699702477052</v>
      </c>
      <c r="P75" s="11">
        <f>Headcount!P83*x_softwarePerHead</f>
        <v>4828.4782876649742</v>
      </c>
      <c r="Q75" s="13">
        <f t="shared" si="21"/>
        <v>54859.623353879637</v>
      </c>
    </row>
    <row r="76" spans="2:17" x14ac:dyDescent="0.45">
      <c r="B76" t="s">
        <v>535</v>
      </c>
      <c r="C76" s="43" t="s">
        <v>324</v>
      </c>
      <c r="D76" s="15" t="s">
        <v>536</v>
      </c>
      <c r="E76" s="11">
        <f>Headcount!E83*x_te_mkt</f>
        <v>5058.3333333333339</v>
      </c>
      <c r="F76" s="11">
        <f>Headcount!F83*x_te_mkt</f>
        <v>5558.3333333333339</v>
      </c>
      <c r="G76" s="11">
        <f>Headcount!G83*x_te_mkt</f>
        <v>5558.3333333333339</v>
      </c>
      <c r="H76" s="11">
        <f>Headcount!H83*x_te_mkt</f>
        <v>5552.5</v>
      </c>
      <c r="I76" s="11">
        <f>Headcount!I83*x_te_mkt</f>
        <v>5546.7347222222224</v>
      </c>
      <c r="J76" s="11">
        <f>Headcount!J83*x_te_mkt</f>
        <v>5546.870039351852</v>
      </c>
      <c r="K76" s="11">
        <f>Headcount!K83*x_te_mkt</f>
        <v>5547.003777781636</v>
      </c>
      <c r="L76" s="11">
        <f>Headcount!L83*x_te_mkt</f>
        <v>6047.0679003741825</v>
      </c>
      <c r="M76" s="11">
        <f>Headcount!M83*x_te_mkt</f>
        <v>6047.0640132957433</v>
      </c>
      <c r="N76" s="11">
        <f>Headcount!N83*x_te_mkt</f>
        <v>6041.2284169330642</v>
      </c>
      <c r="O76" s="11">
        <f>Headcount!O83*x_te_mkt</f>
        <v>6035.4624628096317</v>
      </c>
      <c r="P76" s="11">
        <f>Headcount!P83*x_te_mkt</f>
        <v>6035.5978595812176</v>
      </c>
      <c r="Q76" s="13">
        <f t="shared" si="21"/>
        <v>68574.529192349553</v>
      </c>
    </row>
    <row r="78" spans="2:17" x14ac:dyDescent="0.45">
      <c r="B78" s="4" t="s">
        <v>453</v>
      </c>
    </row>
    <row r="79" spans="2:17" x14ac:dyDescent="0.45">
      <c r="B79" t="s">
        <v>525</v>
      </c>
      <c r="C79" s="43" t="s">
        <v>324</v>
      </c>
      <c r="E79" s="11">
        <f>Inputs!$I$56*x_escalation*x_payMult*IF(E$4&gt;=x_meritMonth,1+x_merit,1)</f>
        <v>231239.21772354215</v>
      </c>
      <c r="F79" s="11">
        <f>Inputs!$I$56*x_escalation*x_payMult*IF(F$4&gt;=x_meritMonth,1+x_merit,1)</f>
        <v>231239.21772354215</v>
      </c>
      <c r="G79" s="11">
        <f>Inputs!$I$56*x_escalation*x_payMult*IF(G$4&gt;=x_meritMonth,1+x_merit,1)</f>
        <v>231239.21772354215</v>
      </c>
      <c r="H79" s="11">
        <f>Inputs!$I$56*x_escalation*x_payMult*IF(H$4&gt;=x_meritMonth,1+x_merit,1)</f>
        <v>237945.15503752485</v>
      </c>
      <c r="I79" s="11">
        <f>Inputs!$I$56*x_escalation*x_payMult*IF(I$4&gt;=x_meritMonth,1+x_merit,1)</f>
        <v>237945.15503752485</v>
      </c>
      <c r="J79" s="11">
        <f>Inputs!$I$56*x_escalation*x_payMult*IF(J$4&gt;=x_meritMonth,1+x_merit,1)</f>
        <v>237945.15503752485</v>
      </c>
      <c r="K79" s="11">
        <f>Inputs!$I$56*x_escalation*x_payMult*IF(K$4&gt;=x_meritMonth,1+x_merit,1)</f>
        <v>237945.15503752485</v>
      </c>
      <c r="L79" s="11">
        <f>Inputs!$I$56*x_escalation*x_payMult*IF(L$4&gt;=x_meritMonth,1+x_merit,1)</f>
        <v>237945.15503752485</v>
      </c>
      <c r="M79" s="11">
        <f>Inputs!$I$56*x_escalation*x_payMult*IF(M$4&gt;=x_meritMonth,1+x_merit,1)</f>
        <v>237945.15503752485</v>
      </c>
      <c r="N79" s="11">
        <f>Inputs!$I$56*x_escalation*x_payMult*IF(N$4&gt;=x_meritMonth,1+x_merit,1)</f>
        <v>237945.15503752485</v>
      </c>
      <c r="O79" s="11">
        <f>Inputs!$I$56*x_escalation*x_payMult*IF(O$4&gt;=x_meritMonth,1+x_merit,1)</f>
        <v>237945.15503752485</v>
      </c>
      <c r="P79" s="11">
        <f>Inputs!$I$56*x_escalation*x_payMult*IF(P$4&gt;=x_meritMonth,1+x_merit,1)</f>
        <v>237945.15503752485</v>
      </c>
    </row>
    <row r="80" spans="2:17" x14ac:dyDescent="0.45">
      <c r="B80" t="s">
        <v>526</v>
      </c>
      <c r="C80" s="43" t="s">
        <v>324</v>
      </c>
      <c r="D80" s="15" t="s">
        <v>527</v>
      </c>
      <c r="E80" s="11">
        <f>Headcount!E93*E79/12</f>
        <v>97473.753582076461</v>
      </c>
      <c r="F80" s="11">
        <f>Headcount!F93*F79/12</f>
        <v>97473.753582076461</v>
      </c>
      <c r="G80" s="11">
        <f>Headcount!G93*G79/12</f>
        <v>97473.753582076461</v>
      </c>
      <c r="H80" s="11">
        <f>Headcount!H93*H79/12</f>
        <v>100300.49243595666</v>
      </c>
      <c r="I80" s="11">
        <f>Headcount!I93*I79/12</f>
        <v>100300.49243595666</v>
      </c>
      <c r="J80" s="11">
        <f>Headcount!J93*J79/12</f>
        <v>100300.49243595666</v>
      </c>
      <c r="K80" s="11">
        <f>Headcount!K93*K79/12</f>
        <v>100300.49243595666</v>
      </c>
      <c r="L80" s="11">
        <f>Headcount!L93*L79/12</f>
        <v>100300.49243595666</v>
      </c>
      <c r="M80" s="11">
        <f>Headcount!M93*M79/12</f>
        <v>100300.49243595666</v>
      </c>
      <c r="N80" s="11">
        <f>Headcount!N93*N79/12</f>
        <v>100300.49243595666</v>
      </c>
      <c r="O80" s="11">
        <f>Headcount!O93*O79/12</f>
        <v>100300.49243595666</v>
      </c>
      <c r="P80" s="11">
        <f>Headcount!P93*P79/12</f>
        <v>100300.49243595666</v>
      </c>
      <c r="Q80" s="13">
        <f t="shared" ref="Q80:Q85" si="24">SUM(E80:P80)</f>
        <v>1195125.6926698391</v>
      </c>
    </row>
    <row r="81" spans="2:17" x14ac:dyDescent="0.45">
      <c r="B81" t="s">
        <v>528</v>
      </c>
      <c r="C81" s="43" t="s">
        <v>324</v>
      </c>
      <c r="D81" s="15" t="s">
        <v>392</v>
      </c>
      <c r="E81" s="11">
        <f t="shared" ref="E81:P81" si="25">E80*x_load</f>
        <v>24083.617174444102</v>
      </c>
      <c r="F81" s="11">
        <f t="shared" si="25"/>
        <v>24083.617174444102</v>
      </c>
      <c r="G81" s="11">
        <f t="shared" si="25"/>
        <v>24083.617174444102</v>
      </c>
      <c r="H81" s="11">
        <f t="shared" si="25"/>
        <v>24782.042072502976</v>
      </c>
      <c r="I81" s="11">
        <f t="shared" si="25"/>
        <v>24782.042072502976</v>
      </c>
      <c r="J81" s="11">
        <f t="shared" si="25"/>
        <v>24782.042072502976</v>
      </c>
      <c r="K81" s="11">
        <f t="shared" si="25"/>
        <v>24782.042072502976</v>
      </c>
      <c r="L81" s="11">
        <f t="shared" si="25"/>
        <v>24782.042072502976</v>
      </c>
      <c r="M81" s="11">
        <f t="shared" si="25"/>
        <v>24782.042072502976</v>
      </c>
      <c r="N81" s="11">
        <f t="shared" si="25"/>
        <v>24782.042072502976</v>
      </c>
      <c r="O81" s="11">
        <f t="shared" si="25"/>
        <v>24782.042072502976</v>
      </c>
      <c r="P81" s="11">
        <f t="shared" si="25"/>
        <v>24782.042072502976</v>
      </c>
      <c r="Q81" s="13">
        <f t="shared" si="24"/>
        <v>295289.23017585912</v>
      </c>
    </row>
    <row r="82" spans="2:17" x14ac:dyDescent="0.45">
      <c r="B82" t="s">
        <v>529</v>
      </c>
      <c r="C82" s="43" t="s">
        <v>324</v>
      </c>
      <c r="D82" s="15" t="s">
        <v>530</v>
      </c>
      <c r="E82" s="11">
        <f t="shared" ref="E82:P82" si="26">E80*x_sbcRate</f>
        <v>19494.750716415292</v>
      </c>
      <c r="F82" s="11">
        <f t="shared" si="26"/>
        <v>19494.750716415292</v>
      </c>
      <c r="G82" s="11">
        <f t="shared" si="26"/>
        <v>19494.750716415292</v>
      </c>
      <c r="H82" s="11">
        <f t="shared" si="26"/>
        <v>20060.098487191335</v>
      </c>
      <c r="I82" s="11">
        <f t="shared" si="26"/>
        <v>20060.098487191335</v>
      </c>
      <c r="J82" s="11">
        <f t="shared" si="26"/>
        <v>20060.098487191335</v>
      </c>
      <c r="K82" s="11">
        <f t="shared" si="26"/>
        <v>20060.098487191335</v>
      </c>
      <c r="L82" s="11">
        <f t="shared" si="26"/>
        <v>20060.098487191335</v>
      </c>
      <c r="M82" s="11">
        <f t="shared" si="26"/>
        <v>20060.098487191335</v>
      </c>
      <c r="N82" s="11">
        <f t="shared" si="26"/>
        <v>20060.098487191335</v>
      </c>
      <c r="O82" s="11">
        <f t="shared" si="26"/>
        <v>20060.098487191335</v>
      </c>
      <c r="P82" s="11">
        <f t="shared" si="26"/>
        <v>20060.098487191335</v>
      </c>
      <c r="Q82" s="13">
        <f t="shared" si="24"/>
        <v>239025.13853396793</v>
      </c>
    </row>
    <row r="83" spans="2:17" x14ac:dyDescent="0.45">
      <c r="B83" t="s">
        <v>531</v>
      </c>
      <c r="C83" s="43" t="s">
        <v>324</v>
      </c>
      <c r="D83" s="15" t="s">
        <v>532</v>
      </c>
      <c r="E83" s="11">
        <f>Headcount!E90*x_equipPerHire</f>
        <v>175</v>
      </c>
      <c r="F83" s="11">
        <f>Headcount!F90*x_equipPerHire</f>
        <v>175</v>
      </c>
      <c r="G83" s="11">
        <f>Headcount!G90*x_equipPerHire</f>
        <v>175</v>
      </c>
      <c r="H83" s="11">
        <f>Headcount!H90*x_equipPerHire</f>
        <v>175</v>
      </c>
      <c r="I83" s="11">
        <f>Headcount!I90*x_equipPerHire</f>
        <v>175</v>
      </c>
      <c r="J83" s="11">
        <f>Headcount!J90*x_equipPerHire</f>
        <v>175</v>
      </c>
      <c r="K83" s="11">
        <f>Headcount!K90*x_equipPerHire</f>
        <v>175</v>
      </c>
      <c r="L83" s="11">
        <f>Headcount!L90*x_equipPerHire</f>
        <v>175</v>
      </c>
      <c r="M83" s="11">
        <f>Headcount!M90*x_equipPerHire</f>
        <v>175</v>
      </c>
      <c r="N83" s="11">
        <f>Headcount!N90*x_equipPerHire</f>
        <v>175</v>
      </c>
      <c r="O83" s="11">
        <f>Headcount!O90*x_equipPerHire</f>
        <v>175</v>
      </c>
      <c r="P83" s="11">
        <f>Headcount!P90*x_equipPerHire</f>
        <v>175</v>
      </c>
      <c r="Q83" s="13">
        <f t="shared" si="24"/>
        <v>2100</v>
      </c>
    </row>
    <row r="84" spans="2:17" x14ac:dyDescent="0.45">
      <c r="B84" t="s">
        <v>533</v>
      </c>
      <c r="C84" s="43" t="s">
        <v>324</v>
      </c>
      <c r="D84" s="15" t="s">
        <v>534</v>
      </c>
      <c r="E84" s="11">
        <f>Headcount!E93*x_softwarePerHead</f>
        <v>2023.3333333333335</v>
      </c>
      <c r="F84" s="11">
        <f>Headcount!F93*x_softwarePerHead</f>
        <v>2023.3333333333335</v>
      </c>
      <c r="G84" s="11">
        <f>Headcount!G93*x_softwarePerHead</f>
        <v>2023.3333333333335</v>
      </c>
      <c r="H84" s="11">
        <f>Headcount!H93*x_softwarePerHead</f>
        <v>2023.3333333333335</v>
      </c>
      <c r="I84" s="11">
        <f>Headcount!I93*x_softwarePerHead</f>
        <v>2023.3333333333335</v>
      </c>
      <c r="J84" s="11">
        <f>Headcount!J93*x_softwarePerHead</f>
        <v>2023.3333333333335</v>
      </c>
      <c r="K84" s="11">
        <f>Headcount!K93*x_softwarePerHead</f>
        <v>2023.3333333333335</v>
      </c>
      <c r="L84" s="11">
        <f>Headcount!L93*x_softwarePerHead</f>
        <v>2023.3333333333335</v>
      </c>
      <c r="M84" s="11">
        <f>Headcount!M93*x_softwarePerHead</f>
        <v>2023.3333333333335</v>
      </c>
      <c r="N84" s="11">
        <f>Headcount!N93*x_softwarePerHead</f>
        <v>2023.3333333333335</v>
      </c>
      <c r="O84" s="11">
        <f>Headcount!O93*x_softwarePerHead</f>
        <v>2023.3333333333335</v>
      </c>
      <c r="P84" s="11">
        <f>Headcount!P93*x_softwarePerHead</f>
        <v>2023.3333333333335</v>
      </c>
      <c r="Q84" s="13">
        <f t="shared" si="24"/>
        <v>24280</v>
      </c>
    </row>
    <row r="85" spans="2:17" x14ac:dyDescent="0.45">
      <c r="B85" t="s">
        <v>535</v>
      </c>
      <c r="C85" s="43" t="s">
        <v>324</v>
      </c>
      <c r="D85" s="15" t="s">
        <v>536</v>
      </c>
      <c r="E85" s="11">
        <f>Headcount!E93*x_te_mkt</f>
        <v>2529.166666666667</v>
      </c>
      <c r="F85" s="11">
        <f>Headcount!F93*x_te_mkt</f>
        <v>2529.166666666667</v>
      </c>
      <c r="G85" s="11">
        <f>Headcount!G93*x_te_mkt</f>
        <v>2529.166666666667</v>
      </c>
      <c r="H85" s="11">
        <f>Headcount!H93*x_te_mkt</f>
        <v>2529.166666666667</v>
      </c>
      <c r="I85" s="11">
        <f>Headcount!I93*x_te_mkt</f>
        <v>2529.166666666667</v>
      </c>
      <c r="J85" s="11">
        <f>Headcount!J93*x_te_mkt</f>
        <v>2529.166666666667</v>
      </c>
      <c r="K85" s="11">
        <f>Headcount!K93*x_te_mkt</f>
        <v>2529.166666666667</v>
      </c>
      <c r="L85" s="11">
        <f>Headcount!L93*x_te_mkt</f>
        <v>2529.166666666667</v>
      </c>
      <c r="M85" s="11">
        <f>Headcount!M93*x_te_mkt</f>
        <v>2529.166666666667</v>
      </c>
      <c r="N85" s="11">
        <f>Headcount!N93*x_te_mkt</f>
        <v>2529.166666666667</v>
      </c>
      <c r="O85" s="11">
        <f>Headcount!O93*x_te_mkt</f>
        <v>2529.166666666667</v>
      </c>
      <c r="P85" s="11">
        <f>Headcount!P93*x_te_mkt</f>
        <v>2529.166666666667</v>
      </c>
      <c r="Q85" s="13">
        <f t="shared" si="24"/>
        <v>30350.000000000011</v>
      </c>
    </row>
    <row r="87" spans="2:17" x14ac:dyDescent="0.45">
      <c r="B87" s="4" t="s">
        <v>454</v>
      </c>
    </row>
    <row r="88" spans="2:17" x14ac:dyDescent="0.45">
      <c r="B88" t="s">
        <v>525</v>
      </c>
      <c r="C88" s="43" t="s">
        <v>333</v>
      </c>
      <c r="E88" s="11">
        <f>Inputs!$I$57*x_escalation*x_payMult*IF(E$4&gt;=x_meritMonth,1+x_merit,1)</f>
        <v>93804.58832181427</v>
      </c>
      <c r="F88" s="11">
        <f>Inputs!$I$57*x_escalation*x_payMult*IF(F$4&gt;=x_meritMonth,1+x_merit,1)</f>
        <v>93804.58832181427</v>
      </c>
      <c r="G88" s="11">
        <f>Inputs!$I$57*x_escalation*x_payMult*IF(G$4&gt;=x_meritMonth,1+x_merit,1)</f>
        <v>93804.58832181427</v>
      </c>
      <c r="H88" s="11">
        <f>Inputs!$I$57*x_escalation*x_payMult*IF(H$4&gt;=x_meritMonth,1+x_merit,1)</f>
        <v>96524.921383146881</v>
      </c>
      <c r="I88" s="11">
        <f>Inputs!$I$57*x_escalation*x_payMult*IF(I$4&gt;=x_meritMonth,1+x_merit,1)</f>
        <v>96524.921383146881</v>
      </c>
      <c r="J88" s="11">
        <f>Inputs!$I$57*x_escalation*x_payMult*IF(J$4&gt;=x_meritMonth,1+x_merit,1)</f>
        <v>96524.921383146881</v>
      </c>
      <c r="K88" s="11">
        <f>Inputs!$I$57*x_escalation*x_payMult*IF(K$4&gt;=x_meritMonth,1+x_merit,1)</f>
        <v>96524.921383146881</v>
      </c>
      <c r="L88" s="11">
        <f>Inputs!$I$57*x_escalation*x_payMult*IF(L$4&gt;=x_meritMonth,1+x_merit,1)</f>
        <v>96524.921383146881</v>
      </c>
      <c r="M88" s="11">
        <f>Inputs!$I$57*x_escalation*x_payMult*IF(M$4&gt;=x_meritMonth,1+x_merit,1)</f>
        <v>96524.921383146881</v>
      </c>
      <c r="N88" s="11">
        <f>Inputs!$I$57*x_escalation*x_payMult*IF(N$4&gt;=x_meritMonth,1+x_merit,1)</f>
        <v>96524.921383146881</v>
      </c>
      <c r="O88" s="11">
        <f>Inputs!$I$57*x_escalation*x_payMult*IF(O$4&gt;=x_meritMonth,1+x_merit,1)</f>
        <v>96524.921383146881</v>
      </c>
      <c r="P88" s="11">
        <f>Inputs!$I$57*x_escalation*x_payMult*IF(P$4&gt;=x_meritMonth,1+x_merit,1)</f>
        <v>96524.921383146881</v>
      </c>
    </row>
    <row r="89" spans="2:17" x14ac:dyDescent="0.45">
      <c r="B89" t="s">
        <v>526</v>
      </c>
      <c r="C89" s="43" t="s">
        <v>333</v>
      </c>
      <c r="D89" s="15" t="s">
        <v>527</v>
      </c>
      <c r="E89" s="11">
        <f>Headcount!E103*E88/12</f>
        <v>284605.7266513934</v>
      </c>
      <c r="F89" s="11">
        <f>Headcount!F103*F88/12</f>
        <v>284605.7266513934</v>
      </c>
      <c r="G89" s="11">
        <f>Headcount!G103*G88/12</f>
        <v>292331.57677289838</v>
      </c>
      <c r="H89" s="11">
        <f>Headcount!H103*H88/12</f>
        <v>300716.44366860372</v>
      </c>
      <c r="I89" s="11">
        <f>Headcount!I103*I88/12</f>
        <v>308668.52035618224</v>
      </c>
      <c r="J89" s="11">
        <f>Headcount!J103*J88/12</f>
        <v>308577.92304071045</v>
      </c>
      <c r="K89" s="11">
        <f>Headcount!K103*K88/12</f>
        <v>316531.03129965632</v>
      </c>
      <c r="L89" s="11">
        <f>Headcount!L103*L88/12</f>
        <v>316440.37145086098</v>
      </c>
      <c r="M89" s="11">
        <f>Headcount!M103*M88/12</f>
        <v>324393.44330335205</v>
      </c>
      <c r="N89" s="11">
        <f>Headcount!N103*N88/12</f>
        <v>324302.77257385483</v>
      </c>
      <c r="O89" s="11">
        <f>Headcount!O103*O88/12</f>
        <v>324212.10225898912</v>
      </c>
      <c r="P89" s="11">
        <f>Headcount!P103*P88/12</f>
        <v>324121.4320662276</v>
      </c>
      <c r="Q89" s="13">
        <f t="shared" ref="Q89:Q94" si="27">SUM(E89:P89)</f>
        <v>3709507.0700941226</v>
      </c>
    </row>
    <row r="90" spans="2:17" x14ac:dyDescent="0.45">
      <c r="B90" t="s">
        <v>528</v>
      </c>
      <c r="C90" s="43" t="s">
        <v>333</v>
      </c>
      <c r="D90" s="15" t="s">
        <v>392</v>
      </c>
      <c r="E90" s="11">
        <f t="shared" ref="E90:P90" si="28">E89*x_load</f>
        <v>70319.805223824078</v>
      </c>
      <c r="F90" s="11">
        <f t="shared" si="28"/>
        <v>70319.805223824078</v>
      </c>
      <c r="G90" s="11">
        <f t="shared" si="28"/>
        <v>72228.692589249928</v>
      </c>
      <c r="H90" s="11">
        <f t="shared" si="28"/>
        <v>74300.40848151622</v>
      </c>
      <c r="I90" s="11">
        <f t="shared" si="28"/>
        <v>76265.191447673365</v>
      </c>
      <c r="J90" s="11">
        <f t="shared" si="28"/>
        <v>76242.806846868829</v>
      </c>
      <c r="K90" s="11">
        <f t="shared" si="28"/>
        <v>78207.844691585444</v>
      </c>
      <c r="L90" s="11">
        <f t="shared" si="28"/>
        <v>78185.444640174261</v>
      </c>
      <c r="M90" s="11">
        <f t="shared" si="28"/>
        <v>80150.473489657918</v>
      </c>
      <c r="N90" s="11">
        <f t="shared" si="28"/>
        <v>80128.070749865001</v>
      </c>
      <c r="O90" s="11">
        <f t="shared" si="28"/>
        <v>80105.668112518382</v>
      </c>
      <c r="P90" s="11">
        <f t="shared" si="28"/>
        <v>80083.265505341027</v>
      </c>
      <c r="Q90" s="13">
        <f t="shared" si="27"/>
        <v>916537.47700209857</v>
      </c>
    </row>
    <row r="91" spans="2:17" x14ac:dyDescent="0.45">
      <c r="B91" t="s">
        <v>529</v>
      </c>
      <c r="C91" s="43" t="s">
        <v>333</v>
      </c>
      <c r="D91" s="15" t="s">
        <v>530</v>
      </c>
      <c r="E91" s="11">
        <f t="shared" ref="E91:P91" si="29">E89*x_sbcRate</f>
        <v>56921.145330278683</v>
      </c>
      <c r="F91" s="11">
        <f t="shared" si="29"/>
        <v>56921.145330278683</v>
      </c>
      <c r="G91" s="11">
        <f t="shared" si="29"/>
        <v>58466.315354579681</v>
      </c>
      <c r="H91" s="11">
        <f t="shared" si="29"/>
        <v>60143.28873372075</v>
      </c>
      <c r="I91" s="11">
        <f t="shared" si="29"/>
        <v>61733.704071236454</v>
      </c>
      <c r="J91" s="11">
        <f t="shared" si="29"/>
        <v>61715.58460814209</v>
      </c>
      <c r="K91" s="11">
        <f t="shared" si="29"/>
        <v>63306.206259931263</v>
      </c>
      <c r="L91" s="11">
        <f t="shared" si="29"/>
        <v>63288.074290172197</v>
      </c>
      <c r="M91" s="11">
        <f t="shared" si="29"/>
        <v>64878.688660670414</v>
      </c>
      <c r="N91" s="11">
        <f t="shared" si="29"/>
        <v>64860.554514770971</v>
      </c>
      <c r="O91" s="11">
        <f t="shared" si="29"/>
        <v>64842.420451797829</v>
      </c>
      <c r="P91" s="11">
        <f t="shared" si="29"/>
        <v>64824.286413245522</v>
      </c>
      <c r="Q91" s="13">
        <f t="shared" si="27"/>
        <v>741901.41401882446</v>
      </c>
    </row>
    <row r="92" spans="2:17" x14ac:dyDescent="0.45">
      <c r="B92" t="s">
        <v>531</v>
      </c>
      <c r="C92" s="43" t="s">
        <v>333</v>
      </c>
      <c r="D92" s="15" t="s">
        <v>532</v>
      </c>
      <c r="E92" s="11">
        <f>Headcount!E100*x_equipPerHire</f>
        <v>4225</v>
      </c>
      <c r="F92" s="11">
        <f>Headcount!F100*x_equipPerHire</f>
        <v>1225</v>
      </c>
      <c r="G92" s="11">
        <f>Headcount!G100*x_equipPerHire</f>
        <v>4225</v>
      </c>
      <c r="H92" s="11">
        <f>Headcount!H100*x_equipPerHire</f>
        <v>1225</v>
      </c>
      <c r="I92" s="11">
        <f>Headcount!I100*x_equipPerHire</f>
        <v>4260</v>
      </c>
      <c r="J92" s="11">
        <f>Headcount!J100*x_equipPerHire</f>
        <v>1259.5916666666667</v>
      </c>
      <c r="K92" s="11">
        <f>Headcount!K100*x_equipPerHire</f>
        <v>4294.1880972222216</v>
      </c>
      <c r="L92" s="11">
        <f>Headcount!L100*x_equipPerHire</f>
        <v>1293.3809027546295</v>
      </c>
      <c r="M92" s="11">
        <f>Headcount!M100*x_equipPerHire</f>
        <v>4327.9914588891588</v>
      </c>
      <c r="N92" s="11">
        <f>Headcount!N100*x_equipPerHire</f>
        <v>1327.1934613132298</v>
      </c>
      <c r="O92" s="11">
        <f>Headcount!O100*x_equipPerHire</f>
        <v>1361.8083987321681</v>
      </c>
      <c r="P92" s="11">
        <f>Headcount!P100*x_equipPerHire</f>
        <v>1361.0100779457637</v>
      </c>
      <c r="Q92" s="13">
        <f t="shared" si="27"/>
        <v>30385.16406352384</v>
      </c>
    </row>
    <row r="93" spans="2:17" x14ac:dyDescent="0.45">
      <c r="B93" t="s">
        <v>533</v>
      </c>
      <c r="C93" s="43" t="s">
        <v>333</v>
      </c>
      <c r="D93" s="15" t="s">
        <v>534</v>
      </c>
      <c r="E93" s="11">
        <f>Headcount!E103*x_softwarePerHead</f>
        <v>14563.333333333332</v>
      </c>
      <c r="F93" s="11">
        <f>Headcount!F103*x_softwarePerHead</f>
        <v>14563.333333333332</v>
      </c>
      <c r="G93" s="11">
        <f>Headcount!G103*x_softwarePerHead</f>
        <v>14958.666666666664</v>
      </c>
      <c r="H93" s="11">
        <f>Headcount!H103*x_softwarePerHead</f>
        <v>14954.05444444444</v>
      </c>
      <c r="I93" s="11">
        <f>Headcount!I103*x_softwarePerHead</f>
        <v>15349.49603148148</v>
      </c>
      <c r="J93" s="11">
        <f>Headcount!J103*x_softwarePerHead</f>
        <v>15344.990800003086</v>
      </c>
      <c r="K93" s="11">
        <f>Headcount!K103*x_softwarePerHead</f>
        <v>15740.483685114159</v>
      </c>
      <c r="L93" s="11">
        <f>Headcount!L103*x_softwarePerHead</f>
        <v>15735.975343973012</v>
      </c>
      <c r="M93" s="11">
        <f>Headcount!M103*x_softwarePerHead</f>
        <v>16131.466418660613</v>
      </c>
      <c r="N93" s="11">
        <f>Headcount!N103*x_softwarePerHead</f>
        <v>16126.957536442942</v>
      </c>
      <c r="O93" s="11">
        <f>Headcount!O103*x_softwarePerHead</f>
        <v>16122.448674844105</v>
      </c>
      <c r="P93" s="11">
        <f>Headcount!P103*x_softwarePerHead</f>
        <v>16117.939819317275</v>
      </c>
      <c r="Q93" s="13">
        <f t="shared" si="27"/>
        <v>185709.14608761444</v>
      </c>
    </row>
    <row r="94" spans="2:17" x14ac:dyDescent="0.45">
      <c r="B94" t="s">
        <v>535</v>
      </c>
      <c r="C94" s="43" t="s">
        <v>333</v>
      </c>
      <c r="D94" s="15" t="s">
        <v>536</v>
      </c>
      <c r="E94" s="11">
        <f>Headcount!E103*x_te_cs</f>
        <v>9102.0833333333321</v>
      </c>
      <c r="F94" s="11">
        <f>Headcount!F103*x_te_cs</f>
        <v>9102.0833333333321</v>
      </c>
      <c r="G94" s="11">
        <f>Headcount!G103*x_te_cs</f>
        <v>9349.1666666666661</v>
      </c>
      <c r="H94" s="11">
        <f>Headcount!H103*x_te_cs</f>
        <v>9346.2840277777759</v>
      </c>
      <c r="I94" s="11">
        <f>Headcount!I103*x_te_cs</f>
        <v>9593.4350196759242</v>
      </c>
      <c r="J94" s="11">
        <f>Headcount!J103*x_te_cs</f>
        <v>9590.6192500019279</v>
      </c>
      <c r="K94" s="11">
        <f>Headcount!K103*x_te_cs</f>
        <v>9837.8023031963494</v>
      </c>
      <c r="L94" s="11">
        <f>Headcount!L103*x_te_cs</f>
        <v>9834.9845899831325</v>
      </c>
      <c r="M94" s="11">
        <f>Headcount!M103*x_te_cs</f>
        <v>10082.166511662883</v>
      </c>
      <c r="N94" s="11">
        <f>Headcount!N103*x_te_cs</f>
        <v>10079.348460276839</v>
      </c>
      <c r="O94" s="11">
        <f>Headcount!O103*x_te_cs</f>
        <v>10076.530421777567</v>
      </c>
      <c r="P94" s="11">
        <f>Headcount!P103*x_te_cs</f>
        <v>10073.712387073296</v>
      </c>
      <c r="Q94" s="13">
        <f t="shared" si="27"/>
        <v>116068.21630475903</v>
      </c>
    </row>
    <row r="96" spans="2:17" x14ac:dyDescent="0.45">
      <c r="B96" s="4" t="s">
        <v>455</v>
      </c>
    </row>
    <row r="97" spans="2:17" x14ac:dyDescent="0.45">
      <c r="B97" t="s">
        <v>525</v>
      </c>
      <c r="C97" s="43" t="s">
        <v>333</v>
      </c>
      <c r="E97" s="11">
        <f>Inputs!$I$58*x_escalation*x_payMult*IF(E$4&gt;=x_meritMonth,1+x_merit,1)</f>
        <v>112116.61998660494</v>
      </c>
      <c r="F97" s="11">
        <f>Inputs!$I$58*x_escalation*x_payMult*IF(F$4&gt;=x_meritMonth,1+x_merit,1)</f>
        <v>112116.61998660494</v>
      </c>
      <c r="G97" s="11">
        <f>Inputs!$I$58*x_escalation*x_payMult*IF(G$4&gt;=x_meritMonth,1+x_merit,1)</f>
        <v>112116.61998660494</v>
      </c>
      <c r="H97" s="11">
        <f>Inputs!$I$58*x_escalation*x_payMult*IF(H$4&gt;=x_meritMonth,1+x_merit,1)</f>
        <v>115368.00196621647</v>
      </c>
      <c r="I97" s="11">
        <f>Inputs!$I$58*x_escalation*x_payMult*IF(I$4&gt;=x_meritMonth,1+x_merit,1)</f>
        <v>115368.00196621647</v>
      </c>
      <c r="J97" s="11">
        <f>Inputs!$I$58*x_escalation*x_payMult*IF(J$4&gt;=x_meritMonth,1+x_merit,1)</f>
        <v>115368.00196621647</v>
      </c>
      <c r="K97" s="11">
        <f>Inputs!$I$58*x_escalation*x_payMult*IF(K$4&gt;=x_meritMonth,1+x_merit,1)</f>
        <v>115368.00196621647</v>
      </c>
      <c r="L97" s="11">
        <f>Inputs!$I$58*x_escalation*x_payMult*IF(L$4&gt;=x_meritMonth,1+x_merit,1)</f>
        <v>115368.00196621647</v>
      </c>
      <c r="M97" s="11">
        <f>Inputs!$I$58*x_escalation*x_payMult*IF(M$4&gt;=x_meritMonth,1+x_merit,1)</f>
        <v>115368.00196621647</v>
      </c>
      <c r="N97" s="11">
        <f>Inputs!$I$58*x_escalation*x_payMult*IF(N$4&gt;=x_meritMonth,1+x_merit,1)</f>
        <v>115368.00196621647</v>
      </c>
      <c r="O97" s="11">
        <f>Inputs!$I$58*x_escalation*x_payMult*IF(O$4&gt;=x_meritMonth,1+x_merit,1)</f>
        <v>115368.00196621647</v>
      </c>
      <c r="P97" s="11">
        <f>Inputs!$I$58*x_escalation*x_payMult*IF(P$4&gt;=x_meritMonth,1+x_merit,1)</f>
        <v>115368.00196621647</v>
      </c>
    </row>
    <row r="98" spans="2:17" x14ac:dyDescent="0.45">
      <c r="B98" t="s">
        <v>526</v>
      </c>
      <c r="C98" s="43" t="s">
        <v>333</v>
      </c>
      <c r="D98" s="15" t="s">
        <v>527</v>
      </c>
      <c r="E98" s="11">
        <f>Headcount!E113*E97/12</f>
        <v>170136.97082967302</v>
      </c>
      <c r="F98" s="11">
        <f>Headcount!F113*F97/12</f>
        <v>179480.02249522341</v>
      </c>
      <c r="G98" s="11">
        <f>Headcount!G113*G97/12</f>
        <v>179480.02249522341</v>
      </c>
      <c r="H98" s="11">
        <f>Headcount!H113*H97/12</f>
        <v>184572.77981233993</v>
      </c>
      <c r="I98" s="11">
        <f>Headcount!I113*I97/12</f>
        <v>184461.92504933954</v>
      </c>
      <c r="J98" s="11">
        <f>Headcount!J113*J97/12</f>
        <v>194078.52709100375</v>
      </c>
      <c r="K98" s="11">
        <f>Headcount!K113*K97/12</f>
        <v>194081.09861357548</v>
      </c>
      <c r="L98" s="11">
        <f>Headcount!L113*L97/12</f>
        <v>193970.16822756108</v>
      </c>
      <c r="M98" s="11">
        <f>Headcount!M113*M97/12</f>
        <v>193859.23872381516</v>
      </c>
      <c r="N98" s="11">
        <f>Headcount!N113*N97/12</f>
        <v>203475.7972519504</v>
      </c>
      <c r="O98" s="11">
        <f>Headcount!O113*O97/12</f>
        <v>203478.35576974764</v>
      </c>
      <c r="P98" s="11">
        <f>Headcount!P113*P97/12</f>
        <v>203367.42691508881</v>
      </c>
      <c r="Q98" s="13">
        <f t="shared" ref="Q98:Q103" si="30">SUM(E98:P98)</f>
        <v>2284442.3332745419</v>
      </c>
    </row>
    <row r="99" spans="2:17" x14ac:dyDescent="0.45">
      <c r="B99" t="s">
        <v>528</v>
      </c>
      <c r="C99" s="43" t="s">
        <v>333</v>
      </c>
      <c r="D99" s="15" t="s">
        <v>392</v>
      </c>
      <c r="E99" s="11">
        <f t="shared" ref="E99:P99" si="31">E98*x_load</f>
        <v>42037.097393927201</v>
      </c>
      <c r="F99" s="11">
        <f t="shared" si="31"/>
        <v>44345.559634120887</v>
      </c>
      <c r="G99" s="11">
        <f t="shared" si="31"/>
        <v>44345.559634120887</v>
      </c>
      <c r="H99" s="11">
        <f t="shared" si="31"/>
        <v>45603.867774316859</v>
      </c>
      <c r="I99" s="11">
        <f t="shared" si="31"/>
        <v>45576.478004497265</v>
      </c>
      <c r="J99" s="11">
        <f t="shared" si="31"/>
        <v>47952.528516345054</v>
      </c>
      <c r="K99" s="11">
        <f t="shared" si="31"/>
        <v>47953.163882922185</v>
      </c>
      <c r="L99" s="11">
        <f t="shared" si="31"/>
        <v>47925.755428321791</v>
      </c>
      <c r="M99" s="11">
        <f t="shared" si="31"/>
        <v>47898.347191710505</v>
      </c>
      <c r="N99" s="11">
        <f t="shared" si="31"/>
        <v>50274.386952323883</v>
      </c>
      <c r="O99" s="11">
        <f t="shared" si="31"/>
        <v>50275.019105707725</v>
      </c>
      <c r="P99" s="11">
        <f t="shared" si="31"/>
        <v>50247.611029471562</v>
      </c>
      <c r="Q99" s="13">
        <f t="shared" si="30"/>
        <v>564435.37454778585</v>
      </c>
    </row>
    <row r="100" spans="2:17" x14ac:dyDescent="0.45">
      <c r="B100" t="s">
        <v>529</v>
      </c>
      <c r="C100" s="43" t="s">
        <v>333</v>
      </c>
      <c r="D100" s="15" t="s">
        <v>530</v>
      </c>
      <c r="E100" s="11">
        <f t="shared" ref="E100:P100" si="32">E98*x_sbcRate</f>
        <v>34027.394165934609</v>
      </c>
      <c r="F100" s="11">
        <f t="shared" si="32"/>
        <v>35896.004499044684</v>
      </c>
      <c r="G100" s="11">
        <f t="shared" si="32"/>
        <v>35896.004499044684</v>
      </c>
      <c r="H100" s="11">
        <f t="shared" si="32"/>
        <v>36914.555962467988</v>
      </c>
      <c r="I100" s="11">
        <f t="shared" si="32"/>
        <v>36892.38500986791</v>
      </c>
      <c r="J100" s="11">
        <f t="shared" si="32"/>
        <v>38815.705418200749</v>
      </c>
      <c r="K100" s="11">
        <f t="shared" si="32"/>
        <v>38816.219722715097</v>
      </c>
      <c r="L100" s="11">
        <f t="shared" si="32"/>
        <v>38794.033645512216</v>
      </c>
      <c r="M100" s="11">
        <f t="shared" si="32"/>
        <v>38771.847744763036</v>
      </c>
      <c r="N100" s="11">
        <f t="shared" si="32"/>
        <v>40695.159450390085</v>
      </c>
      <c r="O100" s="11">
        <f t="shared" si="32"/>
        <v>40695.67115394953</v>
      </c>
      <c r="P100" s="11">
        <f t="shared" si="32"/>
        <v>40673.485383017767</v>
      </c>
      <c r="Q100" s="13">
        <f t="shared" si="30"/>
        <v>456888.46665490832</v>
      </c>
    </row>
    <row r="101" spans="2:17" x14ac:dyDescent="0.45">
      <c r="B101" t="s">
        <v>531</v>
      </c>
      <c r="C101" s="43" t="s">
        <v>333</v>
      </c>
      <c r="D101" s="15" t="s">
        <v>532</v>
      </c>
      <c r="E101" s="11">
        <f>Headcount!E110*x_equipPerHire</f>
        <v>630.00000000000011</v>
      </c>
      <c r="F101" s="11">
        <f>Headcount!F110*x_equipPerHire</f>
        <v>3630</v>
      </c>
      <c r="G101" s="11">
        <f>Headcount!G110*x_equipPerHire</f>
        <v>630.00000000000011</v>
      </c>
      <c r="H101" s="11">
        <f>Headcount!H110*x_equipPerHire</f>
        <v>630.00000000000011</v>
      </c>
      <c r="I101" s="11">
        <f>Headcount!I110*x_equipPerHire</f>
        <v>630.00000000000011</v>
      </c>
      <c r="J101" s="11">
        <f>Headcount!J110*x_equipPerHire</f>
        <v>3665</v>
      </c>
      <c r="K101" s="11">
        <f>Headcount!K110*x_equipPerHire</f>
        <v>664.5916666666667</v>
      </c>
      <c r="L101" s="11">
        <f>Headcount!L110*x_equipPerHire</f>
        <v>664.18809722222227</v>
      </c>
      <c r="M101" s="11">
        <f>Headcount!M110*x_equipPerHire</f>
        <v>663.78923608796299</v>
      </c>
      <c r="N101" s="11">
        <f>Headcount!N110*x_equipPerHire</f>
        <v>3698.8033616669372</v>
      </c>
      <c r="O101" s="11">
        <f>Headcount!O110*x_equipPerHire</f>
        <v>698.40422522526694</v>
      </c>
      <c r="P101" s="11">
        <f>Headcount!P110*x_equipPerHire</f>
        <v>698.00503706523148</v>
      </c>
      <c r="Q101" s="13">
        <f t="shared" si="30"/>
        <v>16902.781623934286</v>
      </c>
    </row>
    <row r="102" spans="2:17" x14ac:dyDescent="0.45">
      <c r="B102" t="s">
        <v>533</v>
      </c>
      <c r="C102" s="43" t="s">
        <v>333</v>
      </c>
      <c r="D102" s="15" t="s">
        <v>534</v>
      </c>
      <c r="E102" s="11">
        <f>Headcount!E113*x_softwarePerHead</f>
        <v>7284</v>
      </c>
      <c r="F102" s="11">
        <f>Headcount!F113*x_softwarePerHead</f>
        <v>7684</v>
      </c>
      <c r="G102" s="11">
        <f>Headcount!G113*x_softwarePerHead</f>
        <v>7684</v>
      </c>
      <c r="H102" s="11">
        <f>Headcount!H113*x_softwarePerHead</f>
        <v>7679.3333333333339</v>
      </c>
      <c r="I102" s="11">
        <f>Headcount!I113*x_softwarePerHead</f>
        <v>7674.721111111111</v>
      </c>
      <c r="J102" s="11">
        <f>Headcount!J113*x_softwarePerHead</f>
        <v>8074.8293648148147</v>
      </c>
      <c r="K102" s="11">
        <f>Headcount!K113*x_softwarePerHead</f>
        <v>8074.9363555586424</v>
      </c>
      <c r="L102" s="11">
        <f>Headcount!L113*x_softwarePerHead</f>
        <v>8070.3209869660141</v>
      </c>
      <c r="M102" s="11">
        <f>Headcount!M113*x_softwarePerHead</f>
        <v>8065.7056550810394</v>
      </c>
      <c r="N102" s="11">
        <f>Headcount!N113*x_softwarePerHead</f>
        <v>8465.812098361268</v>
      </c>
      <c r="O102" s="11">
        <f>Headcount!O113*x_softwarePerHead</f>
        <v>8465.9185480285705</v>
      </c>
      <c r="P102" s="11">
        <f>Headcount!P113*x_softwarePerHead</f>
        <v>8461.3032431495085</v>
      </c>
      <c r="Q102" s="13">
        <f t="shared" si="30"/>
        <v>95684.880696404318</v>
      </c>
    </row>
    <row r="103" spans="2:17" x14ac:dyDescent="0.45">
      <c r="B103" t="s">
        <v>535</v>
      </c>
      <c r="C103" s="43" t="s">
        <v>333</v>
      </c>
      <c r="D103" s="15" t="s">
        <v>536</v>
      </c>
      <c r="E103" s="11">
        <f>Headcount!E113*x_te_cs</f>
        <v>4552.5</v>
      </c>
      <c r="F103" s="11">
        <f>Headcount!F113*x_te_cs</f>
        <v>4802.5</v>
      </c>
      <c r="G103" s="11">
        <f>Headcount!G113*x_te_cs</f>
        <v>4802.5</v>
      </c>
      <c r="H103" s="11">
        <f>Headcount!H113*x_te_cs</f>
        <v>4799.5833333333339</v>
      </c>
      <c r="I103" s="11">
        <f>Headcount!I113*x_te_cs</f>
        <v>4796.7006944444447</v>
      </c>
      <c r="J103" s="11">
        <f>Headcount!J113*x_te_cs</f>
        <v>5046.768353009259</v>
      </c>
      <c r="K103" s="11">
        <f>Headcount!K113*x_te_cs</f>
        <v>5046.8352222241519</v>
      </c>
      <c r="L103" s="11">
        <f>Headcount!L113*x_te_cs</f>
        <v>5043.9506168537591</v>
      </c>
      <c r="M103" s="11">
        <f>Headcount!M113*x_te_cs</f>
        <v>5041.0660344256494</v>
      </c>
      <c r="N103" s="11">
        <f>Headcount!N113*x_te_cs</f>
        <v>5291.1325614757925</v>
      </c>
      <c r="O103" s="11">
        <f>Headcount!O113*x_te_cs</f>
        <v>5291.199092517857</v>
      </c>
      <c r="P103" s="11">
        <f>Headcount!P113*x_te_cs</f>
        <v>5288.3145269684428</v>
      </c>
      <c r="Q103" s="13">
        <f t="shared" si="30"/>
        <v>59803.050435252691</v>
      </c>
    </row>
    <row r="105" spans="2:17" x14ac:dyDescent="0.45">
      <c r="B105" s="4" t="s">
        <v>456</v>
      </c>
    </row>
    <row r="106" spans="2:17" x14ac:dyDescent="0.45">
      <c r="B106" t="s">
        <v>525</v>
      </c>
      <c r="C106" s="43" t="s">
        <v>333</v>
      </c>
      <c r="E106" s="11">
        <f>Inputs!$I$59*x_escalation*x_payMult*IF(E$4&gt;=x_meritMonth,1+x_merit,1)</f>
        <v>220331.70745356375</v>
      </c>
      <c r="F106" s="11">
        <f>Inputs!$I$59*x_escalation*x_payMult*IF(F$4&gt;=x_meritMonth,1+x_merit,1)</f>
        <v>220331.70745356375</v>
      </c>
      <c r="G106" s="11">
        <f>Inputs!$I$59*x_escalation*x_payMult*IF(G$4&gt;=x_meritMonth,1+x_merit,1)</f>
        <v>220331.70745356375</v>
      </c>
      <c r="H106" s="11">
        <f>Inputs!$I$59*x_escalation*x_payMult*IF(H$4&gt;=x_meritMonth,1+x_merit,1)</f>
        <v>226721.32696971708</v>
      </c>
      <c r="I106" s="11">
        <f>Inputs!$I$59*x_escalation*x_payMult*IF(I$4&gt;=x_meritMonth,1+x_merit,1)</f>
        <v>226721.32696971708</v>
      </c>
      <c r="J106" s="11">
        <f>Inputs!$I$59*x_escalation*x_payMult*IF(J$4&gt;=x_meritMonth,1+x_merit,1)</f>
        <v>226721.32696971708</v>
      </c>
      <c r="K106" s="11">
        <f>Inputs!$I$59*x_escalation*x_payMult*IF(K$4&gt;=x_meritMonth,1+x_merit,1)</f>
        <v>226721.32696971708</v>
      </c>
      <c r="L106" s="11">
        <f>Inputs!$I$59*x_escalation*x_payMult*IF(L$4&gt;=x_meritMonth,1+x_merit,1)</f>
        <v>226721.32696971708</v>
      </c>
      <c r="M106" s="11">
        <f>Inputs!$I$59*x_escalation*x_payMult*IF(M$4&gt;=x_meritMonth,1+x_merit,1)</f>
        <v>226721.32696971708</v>
      </c>
      <c r="N106" s="11">
        <f>Inputs!$I$59*x_escalation*x_payMult*IF(N$4&gt;=x_meritMonth,1+x_merit,1)</f>
        <v>226721.32696971708</v>
      </c>
      <c r="O106" s="11">
        <f>Inputs!$I$59*x_escalation*x_payMult*IF(O$4&gt;=x_meritMonth,1+x_merit,1)</f>
        <v>226721.32696971708</v>
      </c>
      <c r="P106" s="11">
        <f>Inputs!$I$59*x_escalation*x_payMult*IF(P$4&gt;=x_meritMonth,1+x_merit,1)</f>
        <v>226721.32696971708</v>
      </c>
    </row>
    <row r="107" spans="2:17" x14ac:dyDescent="0.45">
      <c r="B107" t="s">
        <v>526</v>
      </c>
      <c r="C107" s="43" t="s">
        <v>333</v>
      </c>
      <c r="D107" s="15" t="s">
        <v>527</v>
      </c>
      <c r="E107" s="11">
        <f>Headcount!E123*E106/12</f>
        <v>130026.30902363783</v>
      </c>
      <c r="F107" s="11">
        <f>Headcount!F123*F106/12</f>
        <v>130026.30902363783</v>
      </c>
      <c r="G107" s="11">
        <f>Headcount!G123*G106/12</f>
        <v>130026.30902363783</v>
      </c>
      <c r="H107" s="11">
        <f>Headcount!H123*H106/12</f>
        <v>133797.0719853233</v>
      </c>
      <c r="I107" s="11">
        <f>Headcount!I123*I106/12</f>
        <v>133797.0719853233</v>
      </c>
      <c r="J107" s="11">
        <f>Headcount!J123*J106/12</f>
        <v>133797.0719853233</v>
      </c>
      <c r="K107" s="11">
        <f>Headcount!K123*K106/12</f>
        <v>133797.0719853233</v>
      </c>
      <c r="L107" s="11">
        <f>Headcount!L123*L106/12</f>
        <v>133797.0719853233</v>
      </c>
      <c r="M107" s="11">
        <f>Headcount!M123*M106/12</f>
        <v>133797.0719853233</v>
      </c>
      <c r="N107" s="11">
        <f>Headcount!N123*N106/12</f>
        <v>133797.0719853233</v>
      </c>
      <c r="O107" s="11">
        <f>Headcount!O123*O106/12</f>
        <v>133797.0719853233</v>
      </c>
      <c r="P107" s="11">
        <f>Headcount!P123*P106/12</f>
        <v>133797.0719853233</v>
      </c>
      <c r="Q107" s="13">
        <f t="shared" ref="Q107:Q112" si="33">SUM(E107:P107)</f>
        <v>1594252.574938823</v>
      </c>
    </row>
    <row r="108" spans="2:17" x14ac:dyDescent="0.45">
      <c r="B108" t="s">
        <v>528</v>
      </c>
      <c r="C108" s="43" t="s">
        <v>333</v>
      </c>
      <c r="D108" s="15" t="s">
        <v>392</v>
      </c>
      <c r="E108" s="11">
        <f t="shared" ref="E108:P108" si="34">E107*x_load</f>
        <v>32126.636494965995</v>
      </c>
      <c r="F108" s="11">
        <f t="shared" si="34"/>
        <v>32126.636494965995</v>
      </c>
      <c r="G108" s="11">
        <f t="shared" si="34"/>
        <v>32126.636494965995</v>
      </c>
      <c r="H108" s="11">
        <f t="shared" si="34"/>
        <v>33058.308953320004</v>
      </c>
      <c r="I108" s="11">
        <f t="shared" si="34"/>
        <v>33058.308953320004</v>
      </c>
      <c r="J108" s="11">
        <f t="shared" si="34"/>
        <v>33058.308953320004</v>
      </c>
      <c r="K108" s="11">
        <f t="shared" si="34"/>
        <v>33058.308953320004</v>
      </c>
      <c r="L108" s="11">
        <f t="shared" si="34"/>
        <v>33058.308953320004</v>
      </c>
      <c r="M108" s="11">
        <f t="shared" si="34"/>
        <v>33058.308953320004</v>
      </c>
      <c r="N108" s="11">
        <f t="shared" si="34"/>
        <v>33058.308953320004</v>
      </c>
      <c r="O108" s="11">
        <f t="shared" si="34"/>
        <v>33058.308953320004</v>
      </c>
      <c r="P108" s="11">
        <f t="shared" si="34"/>
        <v>33058.308953320004</v>
      </c>
      <c r="Q108" s="13">
        <f t="shared" si="33"/>
        <v>393904.69006477809</v>
      </c>
    </row>
    <row r="109" spans="2:17" x14ac:dyDescent="0.45">
      <c r="B109" t="s">
        <v>529</v>
      </c>
      <c r="C109" s="43" t="s">
        <v>333</v>
      </c>
      <c r="D109" s="15" t="s">
        <v>530</v>
      </c>
      <c r="E109" s="11">
        <f t="shared" ref="E109:P109" si="35">E107*x_sbcRate</f>
        <v>26005.261804727568</v>
      </c>
      <c r="F109" s="11">
        <f t="shared" si="35"/>
        <v>26005.261804727568</v>
      </c>
      <c r="G109" s="11">
        <f t="shared" si="35"/>
        <v>26005.261804727568</v>
      </c>
      <c r="H109" s="11">
        <f t="shared" si="35"/>
        <v>26759.414397064662</v>
      </c>
      <c r="I109" s="11">
        <f t="shared" si="35"/>
        <v>26759.414397064662</v>
      </c>
      <c r="J109" s="11">
        <f t="shared" si="35"/>
        <v>26759.414397064662</v>
      </c>
      <c r="K109" s="11">
        <f t="shared" si="35"/>
        <v>26759.414397064662</v>
      </c>
      <c r="L109" s="11">
        <f t="shared" si="35"/>
        <v>26759.414397064662</v>
      </c>
      <c r="M109" s="11">
        <f t="shared" si="35"/>
        <v>26759.414397064662</v>
      </c>
      <c r="N109" s="11">
        <f t="shared" si="35"/>
        <v>26759.414397064662</v>
      </c>
      <c r="O109" s="11">
        <f t="shared" si="35"/>
        <v>26759.414397064662</v>
      </c>
      <c r="P109" s="11">
        <f t="shared" si="35"/>
        <v>26759.414397064662</v>
      </c>
      <c r="Q109" s="13">
        <f t="shared" si="33"/>
        <v>318850.51498776459</v>
      </c>
    </row>
    <row r="110" spans="2:17" x14ac:dyDescent="0.45">
      <c r="B110" t="s">
        <v>531</v>
      </c>
      <c r="C110" s="43" t="s">
        <v>333</v>
      </c>
      <c r="D110" s="15" t="s">
        <v>532</v>
      </c>
      <c r="E110" s="11">
        <f>Headcount!E120*x_equipPerHire</f>
        <v>245</v>
      </c>
      <c r="F110" s="11">
        <f>Headcount!F120*x_equipPerHire</f>
        <v>245</v>
      </c>
      <c r="G110" s="11">
        <f>Headcount!G120*x_equipPerHire</f>
        <v>245</v>
      </c>
      <c r="H110" s="11">
        <f>Headcount!H120*x_equipPerHire</f>
        <v>245</v>
      </c>
      <c r="I110" s="11">
        <f>Headcount!I120*x_equipPerHire</f>
        <v>245</v>
      </c>
      <c r="J110" s="11">
        <f>Headcount!J120*x_equipPerHire</f>
        <v>245</v>
      </c>
      <c r="K110" s="11">
        <f>Headcount!K120*x_equipPerHire</f>
        <v>245</v>
      </c>
      <c r="L110" s="11">
        <f>Headcount!L120*x_equipPerHire</f>
        <v>245</v>
      </c>
      <c r="M110" s="11">
        <f>Headcount!M120*x_equipPerHire</f>
        <v>245</v>
      </c>
      <c r="N110" s="11">
        <f>Headcount!N120*x_equipPerHire</f>
        <v>245</v>
      </c>
      <c r="O110" s="11">
        <f>Headcount!O120*x_equipPerHire</f>
        <v>245</v>
      </c>
      <c r="P110" s="11">
        <f>Headcount!P120*x_equipPerHire</f>
        <v>245</v>
      </c>
      <c r="Q110" s="13">
        <f t="shared" si="33"/>
        <v>2940</v>
      </c>
    </row>
    <row r="111" spans="2:17" x14ac:dyDescent="0.45">
      <c r="B111" t="s">
        <v>533</v>
      </c>
      <c r="C111" s="43" t="s">
        <v>333</v>
      </c>
      <c r="D111" s="15" t="s">
        <v>534</v>
      </c>
      <c r="E111" s="11">
        <f>Headcount!E123*x_softwarePerHead</f>
        <v>2832.666666666667</v>
      </c>
      <c r="F111" s="11">
        <f>Headcount!F123*x_softwarePerHead</f>
        <v>2832.666666666667</v>
      </c>
      <c r="G111" s="11">
        <f>Headcount!G123*x_softwarePerHead</f>
        <v>2832.666666666667</v>
      </c>
      <c r="H111" s="11">
        <f>Headcount!H123*x_softwarePerHead</f>
        <v>2832.666666666667</v>
      </c>
      <c r="I111" s="11">
        <f>Headcount!I123*x_softwarePerHead</f>
        <v>2832.666666666667</v>
      </c>
      <c r="J111" s="11">
        <f>Headcount!J123*x_softwarePerHead</f>
        <v>2832.666666666667</v>
      </c>
      <c r="K111" s="11">
        <f>Headcount!K123*x_softwarePerHead</f>
        <v>2832.666666666667</v>
      </c>
      <c r="L111" s="11">
        <f>Headcount!L123*x_softwarePerHead</f>
        <v>2832.666666666667</v>
      </c>
      <c r="M111" s="11">
        <f>Headcount!M123*x_softwarePerHead</f>
        <v>2832.666666666667</v>
      </c>
      <c r="N111" s="11">
        <f>Headcount!N123*x_softwarePerHead</f>
        <v>2832.666666666667</v>
      </c>
      <c r="O111" s="11">
        <f>Headcount!O123*x_softwarePerHead</f>
        <v>2832.666666666667</v>
      </c>
      <c r="P111" s="11">
        <f>Headcount!P123*x_softwarePerHead</f>
        <v>2832.666666666667</v>
      </c>
      <c r="Q111" s="13">
        <f t="shared" si="33"/>
        <v>33992.000000000007</v>
      </c>
    </row>
    <row r="112" spans="2:17" x14ac:dyDescent="0.45">
      <c r="B112" t="s">
        <v>535</v>
      </c>
      <c r="C112" s="43" t="s">
        <v>333</v>
      </c>
      <c r="D112" s="15" t="s">
        <v>536</v>
      </c>
      <c r="E112" s="11">
        <f>Headcount!E123*x_te_cs</f>
        <v>1770.4166666666667</v>
      </c>
      <c r="F112" s="11">
        <f>Headcount!F123*x_te_cs</f>
        <v>1770.4166666666667</v>
      </c>
      <c r="G112" s="11">
        <f>Headcount!G123*x_te_cs</f>
        <v>1770.4166666666667</v>
      </c>
      <c r="H112" s="11">
        <f>Headcount!H123*x_te_cs</f>
        <v>1770.4166666666667</v>
      </c>
      <c r="I112" s="11">
        <f>Headcount!I123*x_te_cs</f>
        <v>1770.4166666666667</v>
      </c>
      <c r="J112" s="11">
        <f>Headcount!J123*x_te_cs</f>
        <v>1770.4166666666667</v>
      </c>
      <c r="K112" s="11">
        <f>Headcount!K123*x_te_cs</f>
        <v>1770.4166666666667</v>
      </c>
      <c r="L112" s="11">
        <f>Headcount!L123*x_te_cs</f>
        <v>1770.4166666666667</v>
      </c>
      <c r="M112" s="11">
        <f>Headcount!M123*x_te_cs</f>
        <v>1770.4166666666667</v>
      </c>
      <c r="N112" s="11">
        <f>Headcount!N123*x_te_cs</f>
        <v>1770.4166666666667</v>
      </c>
      <c r="O112" s="11">
        <f>Headcount!O123*x_te_cs</f>
        <v>1770.4166666666667</v>
      </c>
      <c r="P112" s="11">
        <f>Headcount!P123*x_te_cs</f>
        <v>1770.4166666666667</v>
      </c>
      <c r="Q112" s="13">
        <f t="shared" si="33"/>
        <v>21245</v>
      </c>
    </row>
    <row r="114" spans="2:17" x14ac:dyDescent="0.45">
      <c r="B114" s="4" t="s">
        <v>457</v>
      </c>
    </row>
    <row r="115" spans="2:17" x14ac:dyDescent="0.45">
      <c r="B115" t="s">
        <v>525</v>
      </c>
      <c r="C115" s="43" t="s">
        <v>342</v>
      </c>
      <c r="E115" s="11">
        <f>Inputs!$I$60*x_escalation*x_payMult*IF(E$4&gt;=x_meritMonth,1+x_merit,1)</f>
        <v>116133.52040333737</v>
      </c>
      <c r="F115" s="11">
        <f>Inputs!$I$60*x_escalation*x_payMult*IF(F$4&gt;=x_meritMonth,1+x_merit,1)</f>
        <v>116133.52040333737</v>
      </c>
      <c r="G115" s="11">
        <f>Inputs!$I$60*x_escalation*x_payMult*IF(G$4&gt;=x_meritMonth,1+x_merit,1)</f>
        <v>116133.52040333737</v>
      </c>
      <c r="H115" s="11">
        <f>Inputs!$I$60*x_escalation*x_payMult*IF(H$4&gt;=x_meritMonth,1+x_merit,1)</f>
        <v>119501.39249503415</v>
      </c>
      <c r="I115" s="11">
        <f>Inputs!$I$60*x_escalation*x_payMult*IF(I$4&gt;=x_meritMonth,1+x_merit,1)</f>
        <v>119501.39249503415</v>
      </c>
      <c r="J115" s="11">
        <f>Inputs!$I$60*x_escalation*x_payMult*IF(J$4&gt;=x_meritMonth,1+x_merit,1)</f>
        <v>119501.39249503415</v>
      </c>
      <c r="K115" s="11">
        <f>Inputs!$I$60*x_escalation*x_payMult*IF(K$4&gt;=x_meritMonth,1+x_merit,1)</f>
        <v>119501.39249503415</v>
      </c>
      <c r="L115" s="11">
        <f>Inputs!$I$60*x_escalation*x_payMult*IF(L$4&gt;=x_meritMonth,1+x_merit,1)</f>
        <v>119501.39249503415</v>
      </c>
      <c r="M115" s="11">
        <f>Inputs!$I$60*x_escalation*x_payMult*IF(M$4&gt;=x_meritMonth,1+x_merit,1)</f>
        <v>119501.39249503415</v>
      </c>
      <c r="N115" s="11">
        <f>Inputs!$I$60*x_escalation*x_payMult*IF(N$4&gt;=x_meritMonth,1+x_merit,1)</f>
        <v>119501.39249503415</v>
      </c>
      <c r="O115" s="11">
        <f>Inputs!$I$60*x_escalation*x_payMult*IF(O$4&gt;=x_meritMonth,1+x_merit,1)</f>
        <v>119501.39249503415</v>
      </c>
      <c r="P115" s="11">
        <f>Inputs!$I$60*x_escalation*x_payMult*IF(P$4&gt;=x_meritMonth,1+x_merit,1)</f>
        <v>119501.39249503415</v>
      </c>
    </row>
    <row r="116" spans="2:17" x14ac:dyDescent="0.45">
      <c r="B116" t="s">
        <v>526</v>
      </c>
      <c r="C116" s="43" t="s">
        <v>342</v>
      </c>
      <c r="D116" s="15" t="s">
        <v>527</v>
      </c>
      <c r="E116" s="11">
        <f>Headcount!E133*E115/12</f>
        <v>274026.7191850415</v>
      </c>
      <c r="F116" s="11">
        <f>Headcount!F133*F115/12</f>
        <v>274026.7191850415</v>
      </c>
      <c r="G116" s="11">
        <f>Headcount!G133*G115/12</f>
        <v>273913.81159576046</v>
      </c>
      <c r="H116" s="11">
        <f>Headcount!H133*H115/12</f>
        <v>291700.9350528628</v>
      </c>
      <c r="I116" s="11">
        <f>Headcount!I133*I115/12</f>
        <v>291703.63015043264</v>
      </c>
      <c r="J116" s="11">
        <f>Headcount!J133*J115/12</f>
        <v>291590.1118958274</v>
      </c>
      <c r="K116" s="11">
        <f>Headcount!K133*K115/12</f>
        <v>291476.56256524986</v>
      </c>
      <c r="L116" s="11">
        <f>Headcount!L133*L115/12</f>
        <v>301437.62961885816</v>
      </c>
      <c r="M116" s="11">
        <f>Headcount!M133*M115/12</f>
        <v>301440.24820109672</v>
      </c>
      <c r="N116" s="11">
        <f>Headcount!N133*N115/12</f>
        <v>301325.32994420192</v>
      </c>
      <c r="O116" s="11">
        <f>Headcount!O133*O115/12</f>
        <v>301210.42765811417</v>
      </c>
      <c r="P116" s="11">
        <f>Headcount!P133*P115/12</f>
        <v>301213.07834765618</v>
      </c>
      <c r="Q116" s="13">
        <f t="shared" ref="Q116:Q121" si="36">SUM(E116:P116)</f>
        <v>3495065.2034001434</v>
      </c>
    </row>
    <row r="117" spans="2:17" x14ac:dyDescent="0.45">
      <c r="B117" t="s">
        <v>528</v>
      </c>
      <c r="C117" s="43" t="s">
        <v>342</v>
      </c>
      <c r="D117" s="15" t="s">
        <v>392</v>
      </c>
      <c r="E117" s="11">
        <f t="shared" ref="E117:P117" si="37">E116*x_load</f>
        <v>67705.965533217823</v>
      </c>
      <c r="F117" s="11">
        <f t="shared" si="37"/>
        <v>67705.965533217823</v>
      </c>
      <c r="G117" s="11">
        <f t="shared" si="37"/>
        <v>67678.06855524781</v>
      </c>
      <c r="H117" s="11">
        <f t="shared" si="37"/>
        <v>72072.874913194377</v>
      </c>
      <c r="I117" s="11">
        <f t="shared" si="37"/>
        <v>72073.540812431194</v>
      </c>
      <c r="J117" s="11">
        <f t="shared" si="37"/>
        <v>72045.492952512461</v>
      </c>
      <c r="K117" s="11">
        <f t="shared" si="37"/>
        <v>72017.437414405562</v>
      </c>
      <c r="L117" s="11">
        <f t="shared" si="37"/>
        <v>74478.597642179768</v>
      </c>
      <c r="M117" s="11">
        <f t="shared" si="37"/>
        <v>74479.244636163858</v>
      </c>
      <c r="N117" s="11">
        <f t="shared" si="37"/>
        <v>74450.850866521258</v>
      </c>
      <c r="O117" s="11">
        <f t="shared" si="37"/>
        <v>74422.461042913244</v>
      </c>
      <c r="P117" s="11">
        <f t="shared" si="37"/>
        <v>74423.115969904684</v>
      </c>
      <c r="Q117" s="13">
        <f t="shared" si="36"/>
        <v>863553.61587190989</v>
      </c>
    </row>
    <row r="118" spans="2:17" x14ac:dyDescent="0.45">
      <c r="B118" t="s">
        <v>529</v>
      </c>
      <c r="C118" s="43" t="s">
        <v>342</v>
      </c>
      <c r="D118" s="15" t="s">
        <v>530</v>
      </c>
      <c r="E118" s="11">
        <f t="shared" ref="E118:P118" si="38">E116*x_sbcRate</f>
        <v>54805.343837008302</v>
      </c>
      <c r="F118" s="11">
        <f t="shared" si="38"/>
        <v>54805.343837008302</v>
      </c>
      <c r="G118" s="11">
        <f t="shared" si="38"/>
        <v>54782.762319152098</v>
      </c>
      <c r="H118" s="11">
        <f t="shared" si="38"/>
        <v>58340.187010572561</v>
      </c>
      <c r="I118" s="11">
        <f t="shared" si="38"/>
        <v>58340.726030086531</v>
      </c>
      <c r="J118" s="11">
        <f t="shared" si="38"/>
        <v>58318.022379165486</v>
      </c>
      <c r="K118" s="11">
        <f t="shared" si="38"/>
        <v>58295.312513049976</v>
      </c>
      <c r="L118" s="11">
        <f t="shared" si="38"/>
        <v>60287.525923771638</v>
      </c>
      <c r="M118" s="11">
        <f t="shared" si="38"/>
        <v>60288.049640219346</v>
      </c>
      <c r="N118" s="11">
        <f t="shared" si="38"/>
        <v>60265.06598884039</v>
      </c>
      <c r="O118" s="11">
        <f t="shared" si="38"/>
        <v>60242.085531622841</v>
      </c>
      <c r="P118" s="11">
        <f t="shared" si="38"/>
        <v>60242.615669531238</v>
      </c>
      <c r="Q118" s="13">
        <f t="shared" si="36"/>
        <v>699013.04068002873</v>
      </c>
    </row>
    <row r="119" spans="2:17" x14ac:dyDescent="0.45">
      <c r="B119" t="s">
        <v>531</v>
      </c>
      <c r="C119" s="43" t="s">
        <v>342</v>
      </c>
      <c r="D119" s="15" t="s">
        <v>532</v>
      </c>
      <c r="E119" s="11">
        <f>Headcount!E130*x_equipPerHire</f>
        <v>3945</v>
      </c>
      <c r="F119" s="11">
        <f>Headcount!F130*x_equipPerHire</f>
        <v>945</v>
      </c>
      <c r="G119" s="11">
        <f>Headcount!G130*x_equipPerHire</f>
        <v>945</v>
      </c>
      <c r="H119" s="11">
        <f>Headcount!H130*x_equipPerHire</f>
        <v>3945</v>
      </c>
      <c r="I119" s="11">
        <f>Headcount!I130*x_equipPerHire</f>
        <v>980</v>
      </c>
      <c r="J119" s="11">
        <f>Headcount!J130*x_equipPerHire</f>
        <v>979.59166666666658</v>
      </c>
      <c r="K119" s="11">
        <f>Headcount!K130*x_equipPerHire</f>
        <v>979.18809722222238</v>
      </c>
      <c r="L119" s="11">
        <f>Headcount!L130*x_equipPerHire</f>
        <v>4013.7892360879632</v>
      </c>
      <c r="M119" s="11">
        <f>Headcount!M130*x_equipPerHire</f>
        <v>1013.3950283336034</v>
      </c>
      <c r="N119" s="11">
        <f>Headcount!N130*x_equipPerHire</f>
        <v>1013.0006557808225</v>
      </c>
      <c r="O119" s="11">
        <f>Headcount!O130*x_equipPerHire</f>
        <v>1012.6061759309723</v>
      </c>
      <c r="P119" s="11">
        <f>Headcount!P130*x_equipPerHire</f>
        <v>1047.6199782994704</v>
      </c>
      <c r="Q119" s="13">
        <f t="shared" si="36"/>
        <v>20819.19083832172</v>
      </c>
    </row>
    <row r="120" spans="2:17" x14ac:dyDescent="0.45">
      <c r="B120" t="s">
        <v>533</v>
      </c>
      <c r="C120" s="43" t="s">
        <v>342</v>
      </c>
      <c r="D120" s="15" t="s">
        <v>534</v>
      </c>
      <c r="E120" s="11">
        <f>Headcount!E133*x_softwarePerHead</f>
        <v>11326</v>
      </c>
      <c r="F120" s="11">
        <f>Headcount!F133*x_softwarePerHead</f>
        <v>11326</v>
      </c>
      <c r="G120" s="11">
        <f>Headcount!G133*x_softwarePerHead</f>
        <v>11321.333333333334</v>
      </c>
      <c r="H120" s="11">
        <f>Headcount!H133*x_softwarePerHead</f>
        <v>11716.721111111112</v>
      </c>
      <c r="I120" s="11">
        <f>Headcount!I133*x_softwarePerHead</f>
        <v>11716.829364814816</v>
      </c>
      <c r="J120" s="11">
        <f>Headcount!J133*x_softwarePerHead</f>
        <v>11712.269688891976</v>
      </c>
      <c r="K120" s="11">
        <f>Headcount!K133*x_softwarePerHead</f>
        <v>11707.708764743793</v>
      </c>
      <c r="L120" s="11">
        <f>Headcount!L133*x_softwarePerHead</f>
        <v>12107.813908784745</v>
      </c>
      <c r="M120" s="11">
        <f>Headcount!M133*x_softwarePerHead</f>
        <v>12107.919089105095</v>
      </c>
      <c r="N120" s="11">
        <f>Headcount!N133*x_softwarePerHead</f>
        <v>12103.303179435941</v>
      </c>
      <c r="O120" s="11">
        <f>Headcount!O133*x_softwarePerHead</f>
        <v>12098.687911264535</v>
      </c>
      <c r="P120" s="11">
        <f>Headcount!P133*x_softwarePerHead</f>
        <v>12098.794381235604</v>
      </c>
      <c r="Q120" s="13">
        <f t="shared" si="36"/>
        <v>141343.38073272095</v>
      </c>
    </row>
    <row r="121" spans="2:17" x14ac:dyDescent="0.45">
      <c r="B121" t="s">
        <v>535</v>
      </c>
      <c r="C121" s="43" t="s">
        <v>342</v>
      </c>
      <c r="D121" s="15" t="s">
        <v>536</v>
      </c>
      <c r="E121" s="11">
        <f>Headcount!E133*x_te_ga</f>
        <v>7078.75</v>
      </c>
      <c r="F121" s="11">
        <f>Headcount!F133*x_te_ga</f>
        <v>7078.75</v>
      </c>
      <c r="G121" s="11">
        <f>Headcount!G133*x_te_ga</f>
        <v>7075.8333333333339</v>
      </c>
      <c r="H121" s="11">
        <f>Headcount!H133*x_te_ga</f>
        <v>7322.9506944444447</v>
      </c>
      <c r="I121" s="11">
        <f>Headcount!I133*x_te_ga</f>
        <v>7323.018353009259</v>
      </c>
      <c r="J121" s="11">
        <f>Headcount!J133*x_te_ga</f>
        <v>7320.168555557485</v>
      </c>
      <c r="K121" s="11">
        <f>Headcount!K133*x_te_ga</f>
        <v>7317.3179779648699</v>
      </c>
      <c r="L121" s="11">
        <f>Headcount!L133*x_te_ga</f>
        <v>7567.3836929904655</v>
      </c>
      <c r="M121" s="11">
        <f>Headcount!M133*x_te_ga</f>
        <v>7567.4494306906845</v>
      </c>
      <c r="N121" s="11">
        <f>Headcount!N133*x_te_ga</f>
        <v>7564.5644871474633</v>
      </c>
      <c r="O121" s="11">
        <f>Headcount!O133*x_te_ga</f>
        <v>7561.679944540334</v>
      </c>
      <c r="P121" s="11">
        <f>Headcount!P133*x_te_ga</f>
        <v>7561.7464882722525</v>
      </c>
      <c r="Q121" s="13">
        <f t="shared" si="36"/>
        <v>88339.612957950594</v>
      </c>
    </row>
    <row r="123" spans="2:17" x14ac:dyDescent="0.45">
      <c r="B123" s="4" t="s">
        <v>458</v>
      </c>
    </row>
    <row r="124" spans="2:17" x14ac:dyDescent="0.45">
      <c r="B124" t="s">
        <v>525</v>
      </c>
      <c r="C124" s="43" t="s">
        <v>342</v>
      </c>
      <c r="E124" s="11">
        <f>Inputs!$I$61*x_escalation*x_payMult*IF(E$4&gt;=x_meritMonth,1+x_merit,1)</f>
        <v>150597.05766021143</v>
      </c>
      <c r="F124" s="11">
        <f>Inputs!$I$61*x_escalation*x_payMult*IF(F$4&gt;=x_meritMonth,1+x_merit,1)</f>
        <v>150597.05766021143</v>
      </c>
      <c r="G124" s="11">
        <f>Inputs!$I$61*x_escalation*x_payMult*IF(G$4&gt;=x_meritMonth,1+x_merit,1)</f>
        <v>150597.05766021143</v>
      </c>
      <c r="H124" s="11">
        <f>Inputs!$I$61*x_escalation*x_payMult*IF(H$4&gt;=x_meritMonth,1+x_merit,1)</f>
        <v>154964.37233235754</v>
      </c>
      <c r="I124" s="11">
        <f>Inputs!$I$61*x_escalation*x_payMult*IF(I$4&gt;=x_meritMonth,1+x_merit,1)</f>
        <v>154964.37233235754</v>
      </c>
      <c r="J124" s="11">
        <f>Inputs!$I$61*x_escalation*x_payMult*IF(J$4&gt;=x_meritMonth,1+x_merit,1)</f>
        <v>154964.37233235754</v>
      </c>
      <c r="K124" s="11">
        <f>Inputs!$I$61*x_escalation*x_payMult*IF(K$4&gt;=x_meritMonth,1+x_merit,1)</f>
        <v>154964.37233235754</v>
      </c>
      <c r="L124" s="11">
        <f>Inputs!$I$61*x_escalation*x_payMult*IF(L$4&gt;=x_meritMonth,1+x_merit,1)</f>
        <v>154964.37233235754</v>
      </c>
      <c r="M124" s="11">
        <f>Inputs!$I$61*x_escalation*x_payMult*IF(M$4&gt;=x_meritMonth,1+x_merit,1)</f>
        <v>154964.37233235754</v>
      </c>
      <c r="N124" s="11">
        <f>Inputs!$I$61*x_escalation*x_payMult*IF(N$4&gt;=x_meritMonth,1+x_merit,1)</f>
        <v>154964.37233235754</v>
      </c>
      <c r="O124" s="11">
        <f>Inputs!$I$61*x_escalation*x_payMult*IF(O$4&gt;=x_meritMonth,1+x_merit,1)</f>
        <v>154964.37233235754</v>
      </c>
      <c r="P124" s="11">
        <f>Inputs!$I$61*x_escalation*x_payMult*IF(P$4&gt;=x_meritMonth,1+x_merit,1)</f>
        <v>154964.37233235754</v>
      </c>
    </row>
    <row r="125" spans="2:17" x14ac:dyDescent="0.45">
      <c r="B125" t="s">
        <v>526</v>
      </c>
      <c r="C125" s="43" t="s">
        <v>342</v>
      </c>
      <c r="D125" s="15" t="s">
        <v>527</v>
      </c>
      <c r="E125" s="11">
        <f>Headcount!E143*E124/12</f>
        <v>203138.69777721853</v>
      </c>
      <c r="F125" s="11">
        <f>Headcount!F143*F124/12</f>
        <v>215688.45258223615</v>
      </c>
      <c r="G125" s="11">
        <f>Headcount!G143*G124/12</f>
        <v>215688.45258223615</v>
      </c>
      <c r="H125" s="11">
        <f>Headcount!H143*H124/12</f>
        <v>221792.75790068673</v>
      </c>
      <c r="I125" s="11">
        <f>Headcount!I143*I124/12</f>
        <v>221643.85579199423</v>
      </c>
      <c r="J125" s="11">
        <f>Headcount!J143*J124/12</f>
        <v>221647.35068100403</v>
      </c>
      <c r="K125" s="11">
        <f>Headcount!K143*K124/12</f>
        <v>234564.5024906719</v>
      </c>
      <c r="L125" s="11">
        <f>Headcount!L143*L124/12</f>
        <v>234566.15861022298</v>
      </c>
      <c r="M125" s="11">
        <f>Headcount!M143*M124/12</f>
        <v>234415.39841067695</v>
      </c>
      <c r="N125" s="11">
        <f>Headcount!N143*N124/12</f>
        <v>234266.43785383078</v>
      </c>
      <c r="O125" s="11">
        <f>Headcount!O143*O124/12</f>
        <v>234269.91527459395</v>
      </c>
      <c r="P125" s="11">
        <f>Headcount!P143*P124/12</f>
        <v>234273.37144684291</v>
      </c>
      <c r="Q125" s="13">
        <f t="shared" ref="Q125:Q130" si="39">SUM(E125:P125)</f>
        <v>2705955.3514022152</v>
      </c>
    </row>
    <row r="126" spans="2:17" x14ac:dyDescent="0.45">
      <c r="B126" t="s">
        <v>528</v>
      </c>
      <c r="C126" s="43" t="s">
        <v>342</v>
      </c>
      <c r="D126" s="15" t="s">
        <v>392</v>
      </c>
      <c r="E126" s="11">
        <f t="shared" ref="E126:P126" si="40">E125*x_load</f>
        <v>50191.097098380669</v>
      </c>
      <c r="F126" s="11">
        <f t="shared" si="40"/>
        <v>53291.865041031859</v>
      </c>
      <c r="G126" s="11">
        <f t="shared" si="40"/>
        <v>53291.865041031859</v>
      </c>
      <c r="H126" s="11">
        <f t="shared" si="40"/>
        <v>54800.104408070249</v>
      </c>
      <c r="I126" s="11">
        <f t="shared" si="40"/>
        <v>54763.313977308819</v>
      </c>
      <c r="J126" s="11">
        <f t="shared" si="40"/>
        <v>54764.177487391134</v>
      </c>
      <c r="K126" s="11">
        <f t="shared" si="40"/>
        <v>57955.72113617725</v>
      </c>
      <c r="L126" s="11">
        <f t="shared" si="40"/>
        <v>57956.130326834194</v>
      </c>
      <c r="M126" s="11">
        <f t="shared" si="40"/>
        <v>57918.880802756394</v>
      </c>
      <c r="N126" s="11">
        <f t="shared" si="40"/>
        <v>57882.075930743806</v>
      </c>
      <c r="O126" s="11">
        <f t="shared" si="40"/>
        <v>57882.935124807198</v>
      </c>
      <c r="P126" s="11">
        <f t="shared" si="40"/>
        <v>57883.78906883084</v>
      </c>
      <c r="Q126" s="13">
        <f t="shared" si="39"/>
        <v>668581.95544336434</v>
      </c>
    </row>
    <row r="127" spans="2:17" x14ac:dyDescent="0.45">
      <c r="B127" t="s">
        <v>529</v>
      </c>
      <c r="C127" s="43" t="s">
        <v>342</v>
      </c>
      <c r="D127" s="15" t="s">
        <v>530</v>
      </c>
      <c r="E127" s="11">
        <f t="shared" ref="E127:P127" si="41">E125*x_sbcRate</f>
        <v>40627.73955544371</v>
      </c>
      <c r="F127" s="11">
        <f t="shared" si="41"/>
        <v>43137.690516447234</v>
      </c>
      <c r="G127" s="11">
        <f t="shared" si="41"/>
        <v>43137.690516447234</v>
      </c>
      <c r="H127" s="11">
        <f t="shared" si="41"/>
        <v>44358.551580137348</v>
      </c>
      <c r="I127" s="11">
        <f t="shared" si="41"/>
        <v>44328.771158398849</v>
      </c>
      <c r="J127" s="11">
        <f t="shared" si="41"/>
        <v>44329.470136200805</v>
      </c>
      <c r="K127" s="11">
        <f t="shared" si="41"/>
        <v>46912.900498134382</v>
      </c>
      <c r="L127" s="11">
        <f t="shared" si="41"/>
        <v>46913.231722044598</v>
      </c>
      <c r="M127" s="11">
        <f t="shared" si="41"/>
        <v>46883.079682135394</v>
      </c>
      <c r="N127" s="11">
        <f t="shared" si="41"/>
        <v>46853.287570766159</v>
      </c>
      <c r="O127" s="11">
        <f t="shared" si="41"/>
        <v>46853.98305491879</v>
      </c>
      <c r="P127" s="11">
        <f t="shared" si="41"/>
        <v>46854.674289368588</v>
      </c>
      <c r="Q127" s="13">
        <f t="shared" si="39"/>
        <v>541191.07028044306</v>
      </c>
    </row>
    <row r="128" spans="2:17" x14ac:dyDescent="0.45">
      <c r="B128" t="s">
        <v>531</v>
      </c>
      <c r="C128" s="43" t="s">
        <v>342</v>
      </c>
      <c r="D128" s="15" t="s">
        <v>532</v>
      </c>
      <c r="E128" s="11">
        <f>Headcount!E140*x_equipPerHire</f>
        <v>560</v>
      </c>
      <c r="F128" s="11">
        <f>Headcount!F140*x_equipPerHire</f>
        <v>3560.0000000000005</v>
      </c>
      <c r="G128" s="11">
        <f>Headcount!G140*x_equipPerHire</f>
        <v>560</v>
      </c>
      <c r="H128" s="11">
        <f>Headcount!H140*x_equipPerHire</f>
        <v>560</v>
      </c>
      <c r="I128" s="11">
        <f>Headcount!I140*x_equipPerHire</f>
        <v>560</v>
      </c>
      <c r="J128" s="11">
        <f>Headcount!J140*x_equipPerHire</f>
        <v>595</v>
      </c>
      <c r="K128" s="11">
        <f>Headcount!K140*x_equipPerHire</f>
        <v>3594.5916666666662</v>
      </c>
      <c r="L128" s="11">
        <f>Headcount!L140*x_equipPerHire</f>
        <v>594.18809722222227</v>
      </c>
      <c r="M128" s="11">
        <f>Headcount!M140*x_equipPerHire</f>
        <v>593.78923608796299</v>
      </c>
      <c r="N128" s="11">
        <f>Headcount!N140*x_equipPerHire</f>
        <v>593.80336166693678</v>
      </c>
      <c r="O128" s="11">
        <f>Headcount!O140*x_equipPerHire</f>
        <v>628.81255855860036</v>
      </c>
      <c r="P128" s="11">
        <f>Headcount!P140*x_equipPerHire</f>
        <v>628.40860650967591</v>
      </c>
      <c r="Q128" s="13">
        <f t="shared" si="39"/>
        <v>13028.593526712066</v>
      </c>
    </row>
    <row r="129" spans="2:17" x14ac:dyDescent="0.45">
      <c r="B129" t="s">
        <v>533</v>
      </c>
      <c r="C129" s="43" t="s">
        <v>342</v>
      </c>
      <c r="D129" s="15" t="s">
        <v>534</v>
      </c>
      <c r="E129" s="11">
        <f>Headcount!E143*x_softwarePerHead</f>
        <v>6474.666666666667</v>
      </c>
      <c r="F129" s="11">
        <f>Headcount!F143*x_softwarePerHead</f>
        <v>6874.666666666667</v>
      </c>
      <c r="G129" s="11">
        <f>Headcount!G143*x_softwarePerHead</f>
        <v>6874.666666666667</v>
      </c>
      <c r="H129" s="11">
        <f>Headcount!H143*x_softwarePerHead</f>
        <v>6870</v>
      </c>
      <c r="I129" s="11">
        <f>Headcount!I143*x_softwarePerHead</f>
        <v>6865.387777777778</v>
      </c>
      <c r="J129" s="11">
        <f>Headcount!J143*x_softwarePerHead</f>
        <v>6865.4960314814816</v>
      </c>
      <c r="K129" s="11">
        <f>Headcount!K143*x_softwarePerHead</f>
        <v>7265.6030222253094</v>
      </c>
      <c r="L129" s="11">
        <f>Headcount!L143*x_softwarePerHead</f>
        <v>7265.6543202993471</v>
      </c>
      <c r="M129" s="11">
        <f>Headcount!M143*x_softwarePerHead</f>
        <v>7260.9845439699284</v>
      </c>
      <c r="N129" s="11">
        <f>Headcount!N143*x_softwarePerHead</f>
        <v>7256.3705113242304</v>
      </c>
      <c r="O129" s="11">
        <f>Headcount!O143*x_softwarePerHead</f>
        <v>7256.4782239514097</v>
      </c>
      <c r="P129" s="11">
        <f>Headcount!P143*x_softwarePerHead</f>
        <v>7256.585278408802</v>
      </c>
      <c r="Q129" s="13">
        <f t="shared" si="39"/>
        <v>84386.559709438297</v>
      </c>
    </row>
    <row r="130" spans="2:17" x14ac:dyDescent="0.45">
      <c r="B130" t="s">
        <v>535</v>
      </c>
      <c r="C130" s="43" t="s">
        <v>342</v>
      </c>
      <c r="D130" s="15" t="s">
        <v>536</v>
      </c>
      <c r="E130" s="11">
        <f>Headcount!E143*x_te_ga</f>
        <v>4046.666666666667</v>
      </c>
      <c r="F130" s="11">
        <f>Headcount!F143*x_te_ga</f>
        <v>4296.666666666667</v>
      </c>
      <c r="G130" s="11">
        <f>Headcount!G143*x_te_ga</f>
        <v>4296.666666666667</v>
      </c>
      <c r="H130" s="11">
        <f>Headcount!H143*x_te_ga</f>
        <v>4293.75</v>
      </c>
      <c r="I130" s="11">
        <f>Headcount!I143*x_te_ga</f>
        <v>4290.8673611111117</v>
      </c>
      <c r="J130" s="11">
        <f>Headcount!J143*x_te_ga</f>
        <v>4290.935019675926</v>
      </c>
      <c r="K130" s="11">
        <f>Headcount!K143*x_te_ga</f>
        <v>4541.001888890818</v>
      </c>
      <c r="L130" s="11">
        <f>Headcount!L143*x_te_ga</f>
        <v>4541.0339501870922</v>
      </c>
      <c r="M130" s="11">
        <f>Headcount!M143*x_te_ga</f>
        <v>4538.1153399812056</v>
      </c>
      <c r="N130" s="11">
        <f>Headcount!N143*x_te_ga</f>
        <v>4535.2315695776442</v>
      </c>
      <c r="O130" s="11">
        <f>Headcount!O143*x_te_ga</f>
        <v>4535.2988899696311</v>
      </c>
      <c r="P130" s="11">
        <f>Headcount!P143*x_te_ga</f>
        <v>4535.3657990055017</v>
      </c>
      <c r="Q130" s="13">
        <f t="shared" si="39"/>
        <v>52741.599818398921</v>
      </c>
    </row>
    <row r="132" spans="2:17" x14ac:dyDescent="0.45">
      <c r="B132" s="4" t="s">
        <v>459</v>
      </c>
    </row>
    <row r="133" spans="2:17" x14ac:dyDescent="0.45">
      <c r="B133" t="s">
        <v>525</v>
      </c>
      <c r="C133" s="43" t="s">
        <v>342</v>
      </c>
      <c r="E133" s="11">
        <f>Inputs!$I$62*x_escalation*x_payMult*IF(E$4&gt;=x_meritMonth,1+x_merit,1)</f>
        <v>226697.91777459922</v>
      </c>
      <c r="F133" s="11">
        <f>Inputs!$I$62*x_escalation*x_payMult*IF(F$4&gt;=x_meritMonth,1+x_merit,1)</f>
        <v>226697.91777459922</v>
      </c>
      <c r="G133" s="11">
        <f>Inputs!$I$62*x_escalation*x_payMult*IF(G$4&gt;=x_meritMonth,1+x_merit,1)</f>
        <v>226697.91777459922</v>
      </c>
      <c r="H133" s="11">
        <f>Inputs!$I$62*x_escalation*x_payMult*IF(H$4&gt;=x_meritMonth,1+x_merit,1)</f>
        <v>233272.15739006258</v>
      </c>
      <c r="I133" s="11">
        <f>Inputs!$I$62*x_escalation*x_payMult*IF(I$4&gt;=x_meritMonth,1+x_merit,1)</f>
        <v>233272.15739006258</v>
      </c>
      <c r="J133" s="11">
        <f>Inputs!$I$62*x_escalation*x_payMult*IF(J$4&gt;=x_meritMonth,1+x_merit,1)</f>
        <v>233272.15739006258</v>
      </c>
      <c r="K133" s="11">
        <f>Inputs!$I$62*x_escalation*x_payMult*IF(K$4&gt;=x_meritMonth,1+x_merit,1)</f>
        <v>233272.15739006258</v>
      </c>
      <c r="L133" s="11">
        <f>Inputs!$I$62*x_escalation*x_payMult*IF(L$4&gt;=x_meritMonth,1+x_merit,1)</f>
        <v>233272.15739006258</v>
      </c>
      <c r="M133" s="11">
        <f>Inputs!$I$62*x_escalation*x_payMult*IF(M$4&gt;=x_meritMonth,1+x_merit,1)</f>
        <v>233272.15739006258</v>
      </c>
      <c r="N133" s="11">
        <f>Inputs!$I$62*x_escalation*x_payMult*IF(N$4&gt;=x_meritMonth,1+x_merit,1)</f>
        <v>233272.15739006258</v>
      </c>
      <c r="O133" s="11">
        <f>Inputs!$I$62*x_escalation*x_payMult*IF(O$4&gt;=x_meritMonth,1+x_merit,1)</f>
        <v>233272.15739006258</v>
      </c>
      <c r="P133" s="11">
        <f>Inputs!$I$62*x_escalation*x_payMult*IF(P$4&gt;=x_meritMonth,1+x_merit,1)</f>
        <v>233272.15739006258</v>
      </c>
    </row>
    <row r="134" spans="2:17" x14ac:dyDescent="0.45">
      <c r="B134" t="s">
        <v>526</v>
      </c>
      <c r="C134" s="43" t="s">
        <v>342</v>
      </c>
      <c r="D134" s="15" t="s">
        <v>527</v>
      </c>
      <c r="E134" s="11">
        <f>Headcount!E153*E133/12</f>
        <v>152895.15121020193</v>
      </c>
      <c r="F134" s="11">
        <f>Headcount!F153*F133/12</f>
        <v>152895.15121020193</v>
      </c>
      <c r="G134" s="11">
        <f>Headcount!G153*G133/12</f>
        <v>152895.15121020193</v>
      </c>
      <c r="H134" s="11">
        <f>Headcount!H153*H133/12</f>
        <v>157329.11059529777</v>
      </c>
      <c r="I134" s="11">
        <f>Headcount!I153*I133/12</f>
        <v>157329.11059529777</v>
      </c>
      <c r="J134" s="11">
        <f>Headcount!J153*J133/12</f>
        <v>157329.11059529777</v>
      </c>
      <c r="K134" s="11">
        <f>Headcount!K153*K133/12</f>
        <v>157329.11059529777</v>
      </c>
      <c r="L134" s="11">
        <f>Headcount!L153*L133/12</f>
        <v>157329.11059529777</v>
      </c>
      <c r="M134" s="11">
        <f>Headcount!M153*M133/12</f>
        <v>157329.11059529777</v>
      </c>
      <c r="N134" s="11">
        <f>Headcount!N153*N133/12</f>
        <v>157329.11059529777</v>
      </c>
      <c r="O134" s="11">
        <f>Headcount!O153*O133/12</f>
        <v>157329.11059529777</v>
      </c>
      <c r="P134" s="11">
        <f>Headcount!P153*P133/12</f>
        <v>157329.11059529777</v>
      </c>
      <c r="Q134" s="13">
        <f t="shared" ref="Q134:Q139" si="42">SUM(E134:P134)</f>
        <v>1874647.4489882856</v>
      </c>
    </row>
    <row r="135" spans="2:17" x14ac:dyDescent="0.45">
      <c r="B135" t="s">
        <v>528</v>
      </c>
      <c r="C135" s="43" t="s">
        <v>342</v>
      </c>
      <c r="D135" s="15" t="s">
        <v>392</v>
      </c>
      <c r="E135" s="11">
        <f t="shared" ref="E135:P135" si="43">E134*x_load</f>
        <v>37777.023601277884</v>
      </c>
      <c r="F135" s="11">
        <f t="shared" si="43"/>
        <v>37777.023601277884</v>
      </c>
      <c r="G135" s="11">
        <f t="shared" si="43"/>
        <v>37777.023601277884</v>
      </c>
      <c r="H135" s="11">
        <f t="shared" si="43"/>
        <v>38872.557285714938</v>
      </c>
      <c r="I135" s="11">
        <f t="shared" si="43"/>
        <v>38872.557285714938</v>
      </c>
      <c r="J135" s="11">
        <f t="shared" si="43"/>
        <v>38872.557285714938</v>
      </c>
      <c r="K135" s="11">
        <f t="shared" si="43"/>
        <v>38872.557285714938</v>
      </c>
      <c r="L135" s="11">
        <f t="shared" si="43"/>
        <v>38872.557285714938</v>
      </c>
      <c r="M135" s="11">
        <f t="shared" si="43"/>
        <v>38872.557285714938</v>
      </c>
      <c r="N135" s="11">
        <f t="shared" si="43"/>
        <v>38872.557285714938</v>
      </c>
      <c r="O135" s="11">
        <f t="shared" si="43"/>
        <v>38872.557285714938</v>
      </c>
      <c r="P135" s="11">
        <f t="shared" si="43"/>
        <v>38872.557285714938</v>
      </c>
      <c r="Q135" s="13">
        <f t="shared" si="42"/>
        <v>463184.08637526823</v>
      </c>
    </row>
    <row r="136" spans="2:17" x14ac:dyDescent="0.45">
      <c r="B136" t="s">
        <v>529</v>
      </c>
      <c r="C136" s="43" t="s">
        <v>342</v>
      </c>
      <c r="D136" s="15" t="s">
        <v>530</v>
      </c>
      <c r="E136" s="11">
        <f t="shared" ref="E136:P136" si="44">E134*x_sbcRate</f>
        <v>30579.03024204039</v>
      </c>
      <c r="F136" s="11">
        <f t="shared" si="44"/>
        <v>30579.03024204039</v>
      </c>
      <c r="G136" s="11">
        <f t="shared" si="44"/>
        <v>30579.03024204039</v>
      </c>
      <c r="H136" s="11">
        <f t="shared" si="44"/>
        <v>31465.822119059554</v>
      </c>
      <c r="I136" s="11">
        <f t="shared" si="44"/>
        <v>31465.822119059554</v>
      </c>
      <c r="J136" s="11">
        <f t="shared" si="44"/>
        <v>31465.822119059554</v>
      </c>
      <c r="K136" s="11">
        <f t="shared" si="44"/>
        <v>31465.822119059554</v>
      </c>
      <c r="L136" s="11">
        <f t="shared" si="44"/>
        <v>31465.822119059554</v>
      </c>
      <c r="M136" s="11">
        <f t="shared" si="44"/>
        <v>31465.822119059554</v>
      </c>
      <c r="N136" s="11">
        <f t="shared" si="44"/>
        <v>31465.822119059554</v>
      </c>
      <c r="O136" s="11">
        <f t="shared" si="44"/>
        <v>31465.822119059554</v>
      </c>
      <c r="P136" s="11">
        <f t="shared" si="44"/>
        <v>31465.822119059554</v>
      </c>
      <c r="Q136" s="13">
        <f t="shared" si="42"/>
        <v>374929.48979765724</v>
      </c>
    </row>
    <row r="137" spans="2:17" x14ac:dyDescent="0.45">
      <c r="B137" t="s">
        <v>531</v>
      </c>
      <c r="C137" s="43" t="s">
        <v>342</v>
      </c>
      <c r="D137" s="15" t="s">
        <v>532</v>
      </c>
      <c r="E137" s="11">
        <f>Headcount!E150*x_equipPerHire</f>
        <v>280</v>
      </c>
      <c r="F137" s="11">
        <f>Headcount!F150*x_equipPerHire</f>
        <v>280</v>
      </c>
      <c r="G137" s="11">
        <f>Headcount!G150*x_equipPerHire</f>
        <v>280</v>
      </c>
      <c r="H137" s="11">
        <f>Headcount!H150*x_equipPerHire</f>
        <v>280</v>
      </c>
      <c r="I137" s="11">
        <f>Headcount!I150*x_equipPerHire</f>
        <v>280</v>
      </c>
      <c r="J137" s="11">
        <f>Headcount!J150*x_equipPerHire</f>
        <v>280</v>
      </c>
      <c r="K137" s="11">
        <f>Headcount!K150*x_equipPerHire</f>
        <v>280</v>
      </c>
      <c r="L137" s="11">
        <f>Headcount!L150*x_equipPerHire</f>
        <v>280</v>
      </c>
      <c r="M137" s="11">
        <f>Headcount!M150*x_equipPerHire</f>
        <v>280</v>
      </c>
      <c r="N137" s="11">
        <f>Headcount!N150*x_equipPerHire</f>
        <v>280</v>
      </c>
      <c r="O137" s="11">
        <f>Headcount!O150*x_equipPerHire</f>
        <v>280</v>
      </c>
      <c r="P137" s="11">
        <f>Headcount!P150*x_equipPerHire</f>
        <v>280</v>
      </c>
      <c r="Q137" s="13">
        <f t="shared" si="42"/>
        <v>3360</v>
      </c>
    </row>
    <row r="138" spans="2:17" x14ac:dyDescent="0.45">
      <c r="B138" t="s">
        <v>533</v>
      </c>
      <c r="C138" s="43" t="s">
        <v>342</v>
      </c>
      <c r="D138" s="15" t="s">
        <v>534</v>
      </c>
      <c r="E138" s="11">
        <f>Headcount!E153*x_softwarePerHead</f>
        <v>3237.3333333333335</v>
      </c>
      <c r="F138" s="11">
        <f>Headcount!F153*x_softwarePerHead</f>
        <v>3237.3333333333335</v>
      </c>
      <c r="G138" s="11">
        <f>Headcount!G153*x_softwarePerHead</f>
        <v>3237.3333333333335</v>
      </c>
      <c r="H138" s="11">
        <f>Headcount!H153*x_softwarePerHead</f>
        <v>3237.3333333333335</v>
      </c>
      <c r="I138" s="11">
        <f>Headcount!I153*x_softwarePerHead</f>
        <v>3237.3333333333335</v>
      </c>
      <c r="J138" s="11">
        <f>Headcount!J153*x_softwarePerHead</f>
        <v>3237.3333333333335</v>
      </c>
      <c r="K138" s="11">
        <f>Headcount!K153*x_softwarePerHead</f>
        <v>3237.3333333333335</v>
      </c>
      <c r="L138" s="11">
        <f>Headcount!L153*x_softwarePerHead</f>
        <v>3237.3333333333335</v>
      </c>
      <c r="M138" s="11">
        <f>Headcount!M153*x_softwarePerHead</f>
        <v>3237.3333333333335</v>
      </c>
      <c r="N138" s="11">
        <f>Headcount!N153*x_softwarePerHead</f>
        <v>3237.3333333333335</v>
      </c>
      <c r="O138" s="11">
        <f>Headcount!O153*x_softwarePerHead</f>
        <v>3237.3333333333335</v>
      </c>
      <c r="P138" s="11">
        <f>Headcount!P153*x_softwarePerHead</f>
        <v>3237.3333333333335</v>
      </c>
      <c r="Q138" s="13">
        <f t="shared" si="42"/>
        <v>38848</v>
      </c>
    </row>
    <row r="139" spans="2:17" x14ac:dyDescent="0.45">
      <c r="B139" t="s">
        <v>535</v>
      </c>
      <c r="C139" s="43" t="s">
        <v>342</v>
      </c>
      <c r="D139" s="15" t="s">
        <v>536</v>
      </c>
      <c r="E139" s="11">
        <f>Headcount!E153*x_te_ga</f>
        <v>2023.3333333333335</v>
      </c>
      <c r="F139" s="11">
        <f>Headcount!F153*x_te_ga</f>
        <v>2023.3333333333335</v>
      </c>
      <c r="G139" s="11">
        <f>Headcount!G153*x_te_ga</f>
        <v>2023.3333333333335</v>
      </c>
      <c r="H139" s="11">
        <f>Headcount!H153*x_te_ga</f>
        <v>2023.3333333333335</v>
      </c>
      <c r="I139" s="11">
        <f>Headcount!I153*x_te_ga</f>
        <v>2023.3333333333335</v>
      </c>
      <c r="J139" s="11">
        <f>Headcount!J153*x_te_ga</f>
        <v>2023.3333333333335</v>
      </c>
      <c r="K139" s="11">
        <f>Headcount!K153*x_te_ga</f>
        <v>2023.3333333333335</v>
      </c>
      <c r="L139" s="11">
        <f>Headcount!L153*x_te_ga</f>
        <v>2023.3333333333335</v>
      </c>
      <c r="M139" s="11">
        <f>Headcount!M153*x_te_ga</f>
        <v>2023.3333333333335</v>
      </c>
      <c r="N139" s="11">
        <f>Headcount!N153*x_te_ga</f>
        <v>2023.3333333333335</v>
      </c>
      <c r="O139" s="11">
        <f>Headcount!O153*x_te_ga</f>
        <v>2023.3333333333335</v>
      </c>
      <c r="P139" s="11">
        <f>Headcount!P153*x_te_ga</f>
        <v>2023.3333333333335</v>
      </c>
      <c r="Q139" s="13">
        <f t="shared" si="42"/>
        <v>24280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59"/>
  <sheetViews>
    <sheetView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2" customWidth="1"/>
    <col min="2" max="2" width="44" customWidth="1"/>
    <col min="3" max="3" width="12" customWidth="1"/>
    <col min="4" max="4" width="13" customWidth="1"/>
    <col min="5" max="17" width="12.46484375" customWidth="1"/>
  </cols>
  <sheetData>
    <row r="1" spans="2:17" ht="18" x14ac:dyDescent="0.55000000000000004">
      <c r="B1" s="7" t="s">
        <v>537</v>
      </c>
    </row>
    <row r="2" spans="2:17" x14ac:dyDescent="0.45">
      <c r="B2" s="8" t="s">
        <v>538</v>
      </c>
    </row>
    <row r="3" spans="2:17" x14ac:dyDescent="0.45">
      <c r="B3" s="9" t="s">
        <v>237</v>
      </c>
      <c r="C3" s="9"/>
      <c r="D3" s="9"/>
      <c r="E3" s="41" t="s">
        <v>289</v>
      </c>
      <c r="F3" s="41" t="s">
        <v>290</v>
      </c>
      <c r="G3" s="41" t="s">
        <v>291</v>
      </c>
      <c r="H3" s="41" t="s">
        <v>292</v>
      </c>
      <c r="I3" s="41" t="s">
        <v>293</v>
      </c>
      <c r="J3" s="41" t="s">
        <v>294</v>
      </c>
      <c r="K3" s="41" t="s">
        <v>295</v>
      </c>
      <c r="L3" s="41" t="s">
        <v>296</v>
      </c>
      <c r="M3" s="41" t="s">
        <v>297</v>
      </c>
      <c r="N3" s="41" t="s">
        <v>298</v>
      </c>
      <c r="O3" s="41" t="s">
        <v>299</v>
      </c>
      <c r="P3" s="41" t="s">
        <v>300</v>
      </c>
      <c r="Q3" s="41" t="s">
        <v>439</v>
      </c>
    </row>
    <row r="4" spans="2:17" x14ac:dyDescent="0.45">
      <c r="E4" s="42">
        <v>1</v>
      </c>
      <c r="F4" s="42">
        <v>2</v>
      </c>
      <c r="G4" s="42">
        <v>3</v>
      </c>
      <c r="H4" s="42">
        <v>4</v>
      </c>
      <c r="I4" s="42">
        <v>5</v>
      </c>
      <c r="J4" s="42">
        <v>6</v>
      </c>
      <c r="K4" s="42">
        <v>7</v>
      </c>
      <c r="L4" s="42">
        <v>8</v>
      </c>
      <c r="M4" s="42">
        <v>9</v>
      </c>
      <c r="N4" s="42">
        <v>10</v>
      </c>
      <c r="O4" s="42">
        <v>11</v>
      </c>
      <c r="P4" s="42">
        <v>12</v>
      </c>
    </row>
    <row r="6" spans="2:17" ht="15.75" x14ac:dyDescent="0.5">
      <c r="B6" s="45" t="s">
        <v>480</v>
      </c>
    </row>
    <row r="7" spans="2:17" x14ac:dyDescent="0.45">
      <c r="B7" t="s">
        <v>526</v>
      </c>
      <c r="C7" s="43" t="s">
        <v>303</v>
      </c>
      <c r="E7" s="11">
        <f>Comp!E8+Comp!E17+Comp!E26</f>
        <v>1678420.5834551153</v>
      </c>
      <c r="F7" s="11">
        <f>Comp!F8+Comp!F17+Comp!F26</f>
        <v>1750598.9350685682</v>
      </c>
      <c r="G7" s="11">
        <f>Comp!G8+Comp!G17+Comp!G26</f>
        <v>1801818.1080286128</v>
      </c>
      <c r="H7" s="11">
        <f>Comp!H8+Comp!H17+Comp!H26</f>
        <v>1889130.7406083525</v>
      </c>
      <c r="I7" s="11">
        <f>Comp!I8+Comp!I17+Comp!I26</f>
        <v>1924207.9309068918</v>
      </c>
      <c r="J7" s="11">
        <f>Comp!J8+Comp!J17+Comp!J26</f>
        <v>1959742.3884297344</v>
      </c>
      <c r="K7" s="11">
        <f>Comp!K8+Comp!K17+Comp!K26</f>
        <v>2016422.0137630524</v>
      </c>
      <c r="L7" s="11">
        <f>Comp!L8+Comp!L17+Comp!L26</f>
        <v>2052148.9153311246</v>
      </c>
      <c r="M7" s="11">
        <f>Comp!M8+Comp!M17+Comp!M26</f>
        <v>2067867.9643886567</v>
      </c>
      <c r="N7" s="11">
        <f>Comp!N8+Comp!N17+Comp!N26</f>
        <v>2083587.7075254314</v>
      </c>
      <c r="O7" s="11">
        <f>Comp!O8+Comp!O17+Comp!O26</f>
        <v>2099785.3159544994</v>
      </c>
      <c r="P7" s="11">
        <f>Comp!P8+Comp!P17+Comp!P26</f>
        <v>2099425.3873662176</v>
      </c>
      <c r="Q7" s="13">
        <f t="shared" ref="Q7:Q14" si="0">SUM(E7:P7)</f>
        <v>23423155.990826257</v>
      </c>
    </row>
    <row r="8" spans="2:17" x14ac:dyDescent="0.45">
      <c r="B8" t="s">
        <v>528</v>
      </c>
      <c r="C8" s="43" t="s">
        <v>303</v>
      </c>
      <c r="E8" s="11">
        <f>Comp!E9+Comp!E18+Comp!E27</f>
        <v>414700.75075751473</v>
      </c>
      <c r="F8" s="11">
        <f>Comp!F9+Comp!F18+Comp!F27</f>
        <v>432534.43136033567</v>
      </c>
      <c r="G8" s="11">
        <f>Comp!G9+Comp!G18+Comp!G27</f>
        <v>445189.56064621737</v>
      </c>
      <c r="H8" s="11">
        <f>Comp!H9+Comp!H18+Comp!H27</f>
        <v>466762.58866932208</v>
      </c>
      <c r="I8" s="11">
        <f>Comp!I9+Comp!I18+Comp!I27</f>
        <v>475429.38964558498</v>
      </c>
      <c r="J8" s="11">
        <f>Comp!J9+Comp!J18+Comp!J27</f>
        <v>484209.17127942835</v>
      </c>
      <c r="K8" s="11">
        <f>Comp!K9+Comp!K18+Comp!K27</f>
        <v>498213.45805360225</v>
      </c>
      <c r="L8" s="11">
        <f>Comp!L9+Comp!L18+Comp!L27</f>
        <v>507040.78837150137</v>
      </c>
      <c r="M8" s="11">
        <f>Comp!M9+Comp!M18+Comp!M27</f>
        <v>510924.61910475756</v>
      </c>
      <c r="N8" s="11">
        <f>Comp!N9+Comp!N18+Comp!N27</f>
        <v>514808.62132970418</v>
      </c>
      <c r="O8" s="11">
        <f>Comp!O9+Comp!O18+Comp!O27</f>
        <v>518810.69354105834</v>
      </c>
      <c r="P8" s="11">
        <f>Comp!P9+Comp!P18+Comp!P27</f>
        <v>518721.76311607967</v>
      </c>
      <c r="Q8" s="13">
        <f t="shared" si="0"/>
        <v>5787345.835875107</v>
      </c>
    </row>
    <row r="9" spans="2:17" x14ac:dyDescent="0.45">
      <c r="B9" t="s">
        <v>529</v>
      </c>
      <c r="C9" s="43" t="s">
        <v>303</v>
      </c>
      <c r="E9" s="11">
        <f>Comp!E10+Comp!E19+Comp!E28</f>
        <v>335684.11669102311</v>
      </c>
      <c r="F9" s="11">
        <f>Comp!F10+Comp!F19+Comp!F28</f>
        <v>350119.78701371368</v>
      </c>
      <c r="G9" s="11">
        <f>Comp!G10+Comp!G19+Comp!G28</f>
        <v>360363.62160572258</v>
      </c>
      <c r="H9" s="11">
        <f>Comp!H10+Comp!H19+Comp!H28</f>
        <v>377826.14812167047</v>
      </c>
      <c r="I9" s="11">
        <f>Comp!I10+Comp!I19+Comp!I28</f>
        <v>384841.58618137834</v>
      </c>
      <c r="J9" s="11">
        <f>Comp!J10+Comp!J19+Comp!J28</f>
        <v>391948.47768594691</v>
      </c>
      <c r="K9" s="11">
        <f>Comp!K10+Comp!K19+Comp!K28</f>
        <v>403284.40275261051</v>
      </c>
      <c r="L9" s="11">
        <f>Comp!L10+Comp!L19+Comp!L28</f>
        <v>410429.78306622495</v>
      </c>
      <c r="M9" s="11">
        <f>Comp!M10+Comp!M19+Comp!M28</f>
        <v>413573.59287773131</v>
      </c>
      <c r="N9" s="11">
        <f>Comp!N10+Comp!N19+Comp!N28</f>
        <v>416717.54150508635</v>
      </c>
      <c r="O9" s="11">
        <f>Comp!O10+Comp!O19+Comp!O28</f>
        <v>419957.06319089985</v>
      </c>
      <c r="P9" s="11">
        <f>Comp!P10+Comp!P19+Comp!P28</f>
        <v>419885.07747324352</v>
      </c>
      <c r="Q9" s="13">
        <f t="shared" si="0"/>
        <v>4684631.1981652519</v>
      </c>
    </row>
    <row r="10" spans="2:17" x14ac:dyDescent="0.45">
      <c r="B10" t="s">
        <v>539</v>
      </c>
      <c r="C10" s="43" t="s">
        <v>303</v>
      </c>
      <c r="E10" s="11">
        <f>Comp!E11+Comp!E20+Comp!E29</f>
        <v>12150</v>
      </c>
      <c r="F10" s="11">
        <f>Comp!F11+Comp!F20+Comp!F29</f>
        <v>15150</v>
      </c>
      <c r="G10" s="11">
        <f>Comp!G11+Comp!G20+Comp!G29</f>
        <v>12150</v>
      </c>
      <c r="H10" s="11">
        <f>Comp!H11+Comp!H20+Comp!H29</f>
        <v>9150</v>
      </c>
      <c r="I10" s="11">
        <f>Comp!I11+Comp!I20+Comp!I29</f>
        <v>9255</v>
      </c>
      <c r="J10" s="11">
        <f>Comp!J11+Comp!J20+Comp!J29</f>
        <v>9393.7750000000015</v>
      </c>
      <c r="K10" s="11">
        <f>Comp!K11+Comp!K20+Comp!K29</f>
        <v>12495.930958333334</v>
      </c>
      <c r="L10" s="11">
        <f>Comp!L11+Comp!L20+Comp!L29</f>
        <v>9561.8950971527793</v>
      </c>
      <c r="M10" s="11">
        <f>Comp!M11+Comp!M20+Comp!M29</f>
        <v>6628.3146543526627</v>
      </c>
      <c r="N10" s="11">
        <f>Comp!N11+Comp!N20+Comp!N29</f>
        <v>6695.5783583852135</v>
      </c>
      <c r="O10" s="11">
        <f>Comp!O11+Comp!O20+Comp!O29</f>
        <v>6798.2491387179434</v>
      </c>
      <c r="P10" s="11">
        <f>Comp!P11+Comp!P20+Comp!P29</f>
        <v>3865.4916748996825</v>
      </c>
      <c r="Q10" s="13">
        <f t="shared" si="0"/>
        <v>113294.23488184162</v>
      </c>
    </row>
    <row r="11" spans="2:17" x14ac:dyDescent="0.45">
      <c r="B11" t="s">
        <v>533</v>
      </c>
      <c r="C11" s="43" t="s">
        <v>303</v>
      </c>
      <c r="E11" s="11">
        <f>Comp!E12+Comp!E21+Comp!E30</f>
        <v>37620.000000000007</v>
      </c>
      <c r="F11" s="11">
        <f>Comp!F12+Comp!F21+Comp!F30</f>
        <v>39220.000000000007</v>
      </c>
      <c r="G11" s="11">
        <f>Comp!G12+Comp!G21+Comp!G30</f>
        <v>40406</v>
      </c>
      <c r="H11" s="11">
        <f>Comp!H12+Comp!H21+Comp!H30</f>
        <v>41173.496666666666</v>
      </c>
      <c r="I11" s="11">
        <f>Comp!I12+Comp!I21+Comp!I30</f>
        <v>41941.372538888892</v>
      </c>
      <c r="J11" s="11">
        <f>Comp!J12+Comp!J21+Comp!J30</f>
        <v>42718.956525935188</v>
      </c>
      <c r="K11" s="11">
        <f>Comp!K12+Comp!K21+Comp!K30</f>
        <v>43901.305366465938</v>
      </c>
      <c r="L11" s="11">
        <f>Comp!L12+Comp!L21+Comp!L30</f>
        <v>44683.480931634949</v>
      </c>
      <c r="M11" s="11">
        <f>Comp!M12+Comp!M21+Comp!M30</f>
        <v>45060.823000386241</v>
      </c>
      <c r="N11" s="11">
        <f>Comp!N12+Comp!N21+Comp!N30</f>
        <v>45438.167891517653</v>
      </c>
      <c r="O11" s="11">
        <f>Comp!O12+Comp!O21+Comp!O30</f>
        <v>45824.904495392038</v>
      </c>
      <c r="P11" s="11">
        <f>Comp!P12+Comp!P21+Comp!P30</f>
        <v>45816.254553814877</v>
      </c>
      <c r="Q11" s="13">
        <f t="shared" si="0"/>
        <v>513804.76197070244</v>
      </c>
    </row>
    <row r="12" spans="2:17" x14ac:dyDescent="0.45">
      <c r="B12" t="s">
        <v>535</v>
      </c>
      <c r="C12" s="43" t="s">
        <v>303</v>
      </c>
      <c r="E12" s="11">
        <f>Comp!E13+Comp!E22+Comp!E31</f>
        <v>23512.5</v>
      </c>
      <c r="F12" s="11">
        <f>Comp!F13+Comp!F22+Comp!F31</f>
        <v>24512.5</v>
      </c>
      <c r="G12" s="11">
        <f>Comp!G13+Comp!G22+Comp!G31</f>
        <v>25253.749999999996</v>
      </c>
      <c r="H12" s="11">
        <f>Comp!H13+Comp!H22+Comp!H31</f>
        <v>25733.435416666667</v>
      </c>
      <c r="I12" s="11">
        <f>Comp!I13+Comp!I22+Comp!I31</f>
        <v>26213.357836805561</v>
      </c>
      <c r="J12" s="11">
        <f>Comp!J13+Comp!J22+Comp!J31</f>
        <v>26699.347828709495</v>
      </c>
      <c r="K12" s="11">
        <f>Comp!K13+Comp!K22+Comp!K31</f>
        <v>27438.315854041215</v>
      </c>
      <c r="L12" s="11">
        <f>Comp!L13+Comp!L22+Comp!L31</f>
        <v>27927.175582271844</v>
      </c>
      <c r="M12" s="11">
        <f>Comp!M13+Comp!M22+Comp!M31</f>
        <v>28163.014375241408</v>
      </c>
      <c r="N12" s="11">
        <f>Comp!N13+Comp!N22+Comp!N31</f>
        <v>28398.85493219853</v>
      </c>
      <c r="O12" s="11">
        <f>Comp!O13+Comp!O22+Comp!O31</f>
        <v>28640.565309620026</v>
      </c>
      <c r="P12" s="11">
        <f>Comp!P13+Comp!P22+Comp!P31</f>
        <v>28635.159096134299</v>
      </c>
      <c r="Q12" s="13">
        <f t="shared" si="0"/>
        <v>321127.97623168904</v>
      </c>
    </row>
    <row r="13" spans="2:17" x14ac:dyDescent="0.45">
      <c r="B13" t="s">
        <v>540</v>
      </c>
      <c r="C13" s="43" t="s">
        <v>303</v>
      </c>
      <c r="E13" s="11">
        <f>x_rentPerMonth*Headcount!E159/Headcount!E190</f>
        <v>55677.599999999999</v>
      </c>
      <c r="F13" s="11">
        <f>x_rentPerMonth*Headcount!F159/Headcount!F190</f>
        <v>56596.723868954759</v>
      </c>
      <c r="G13" s="11">
        <f>x_rentPerMonth*Headcount!G159/Headcount!G190</f>
        <v>57255.089691937683</v>
      </c>
      <c r="H13" s="11">
        <f>x_rentPerMonth*Headcount!H159/Headcount!H190</f>
        <v>57151.448687387907</v>
      </c>
      <c r="I13" s="11">
        <f>x_rentPerMonth*Headcount!I159/Headcount!I190</f>
        <v>57553.985088483059</v>
      </c>
      <c r="J13" s="11">
        <f>x_rentPerMonth*Headcount!J159/Headcount!J190</f>
        <v>57958.323099225468</v>
      </c>
      <c r="K13" s="11">
        <f>x_rentPerMonth*Headcount!K159/Headcount!K190</f>
        <v>58217.140252334764</v>
      </c>
      <c r="L13" s="11">
        <f>x_rentPerMonth*Headcount!L159/Headcount!L190</f>
        <v>58431.494500732042</v>
      </c>
      <c r="M13" s="11">
        <f>x_rentPerMonth*Headcount!M159/Headcount!M190</f>
        <v>58288.104844894755</v>
      </c>
      <c r="N13" s="11">
        <f>x_rentPerMonth*Headcount!N159/Headcount!N190</f>
        <v>58149.681762780259</v>
      </c>
      <c r="O13" s="11">
        <f>x_rentPerMonth*Headcount!O159/Headcount!O190</f>
        <v>58499.03471139582</v>
      </c>
      <c r="P13" s="11">
        <f>x_rentPerMonth*Headcount!P159/Headcount!P190</f>
        <v>58502.339869633986</v>
      </c>
      <c r="Q13" s="13">
        <f t="shared" si="0"/>
        <v>692280.96637776063</v>
      </c>
    </row>
    <row r="14" spans="2:17" x14ac:dyDescent="0.45">
      <c r="B14" s="46" t="s">
        <v>541</v>
      </c>
      <c r="C14" s="47" t="s">
        <v>303</v>
      </c>
      <c r="D14" s="48"/>
      <c r="E14" s="49">
        <f t="shared" ref="E14:P14" si="1">E7+E8+E9+E10+E11+E12+E13</f>
        <v>2557765.5509036533</v>
      </c>
      <c r="F14" s="49">
        <f t="shared" si="1"/>
        <v>2668732.3773115724</v>
      </c>
      <c r="G14" s="49">
        <f t="shared" si="1"/>
        <v>2742436.1299724909</v>
      </c>
      <c r="H14" s="49">
        <f t="shared" si="1"/>
        <v>2866927.8581700665</v>
      </c>
      <c r="I14" s="49">
        <f t="shared" si="1"/>
        <v>2919442.6221980327</v>
      </c>
      <c r="J14" s="49">
        <f t="shared" si="1"/>
        <v>2972670.4398489799</v>
      </c>
      <c r="K14" s="49">
        <f t="shared" si="1"/>
        <v>3059972.5670004403</v>
      </c>
      <c r="L14" s="49">
        <f t="shared" si="1"/>
        <v>3110223.5328806425</v>
      </c>
      <c r="M14" s="49">
        <f t="shared" si="1"/>
        <v>3130506.4332460207</v>
      </c>
      <c r="N14" s="49">
        <f t="shared" si="1"/>
        <v>3153796.1533051031</v>
      </c>
      <c r="O14" s="49">
        <f t="shared" si="1"/>
        <v>3178315.8263415834</v>
      </c>
      <c r="P14" s="49">
        <f t="shared" si="1"/>
        <v>3174851.4731500237</v>
      </c>
      <c r="Q14" s="49">
        <f t="shared" si="0"/>
        <v>35535640.964328609</v>
      </c>
    </row>
    <row r="16" spans="2:17" ht="15.75" x14ac:dyDescent="0.5">
      <c r="B16" s="45" t="s">
        <v>482</v>
      </c>
    </row>
    <row r="17" spans="2:17" x14ac:dyDescent="0.45">
      <c r="B17" t="s">
        <v>526</v>
      </c>
      <c r="C17" s="43" t="s">
        <v>314</v>
      </c>
      <c r="E17" s="11">
        <f>Comp!E35+Comp!E44+Comp!E53</f>
        <v>952794.86332467943</v>
      </c>
      <c r="F17" s="11">
        <f>Comp!F35+Comp!F44+Comp!F53</f>
        <v>967790.06794823869</v>
      </c>
      <c r="G17" s="11">
        <f>Comp!G35+Comp!G44+Comp!G53</f>
        <v>997265.29835492128</v>
      </c>
      <c r="H17" s="11">
        <f>Comp!H35+Comp!H44+Comp!H53</f>
        <v>1065129.7752390804</v>
      </c>
      <c r="I17" s="11">
        <f>Comp!I35+Comp!I44+Comp!I53</f>
        <v>1080033.3978782599</v>
      </c>
      <c r="J17" s="11">
        <f>Comp!J35+Comp!J44+Comp!J53</f>
        <v>1094661.410991214</v>
      </c>
      <c r="K17" s="11">
        <f>Comp!K35+Comp!K44+Comp!K53</f>
        <v>1118192.6651295123</v>
      </c>
      <c r="L17" s="11">
        <f>Comp!L35+Comp!L44+Comp!L53</f>
        <v>1133285.4149987074</v>
      </c>
      <c r="M17" s="11">
        <f>Comp!M35+Comp!M44+Comp!M53</f>
        <v>1163635.9397773978</v>
      </c>
      <c r="N17" s="11">
        <f>Comp!N35+Comp!N44+Comp!N53</f>
        <v>1187340.5909801014</v>
      </c>
      <c r="O17" s="11">
        <f>Comp!O35+Comp!O44+Comp!O53</f>
        <v>1186815.6165387854</v>
      </c>
      <c r="P17" s="11">
        <f>Comp!P35+Comp!P44+Comp!P53</f>
        <v>1186191.097520818</v>
      </c>
      <c r="Q17" s="13">
        <f t="shared" ref="Q17:Q25" si="2">SUM(E17:P17)</f>
        <v>13133136.138681717</v>
      </c>
    </row>
    <row r="18" spans="2:17" x14ac:dyDescent="0.45">
      <c r="B18" t="s">
        <v>528</v>
      </c>
      <c r="C18" s="43" t="s">
        <v>314</v>
      </c>
      <c r="E18" s="11">
        <f>Comp!E36+Comp!E45+Comp!E54</f>
        <v>235414.62076523365</v>
      </c>
      <c r="F18" s="11">
        <f>Comp!F36+Comp!F45+Comp!F54</f>
        <v>239119.60548506561</v>
      </c>
      <c r="G18" s="11">
        <f>Comp!G36+Comp!G45+Comp!G54</f>
        <v>246402.2855825889</v>
      </c>
      <c r="H18" s="11">
        <f>Comp!H36+Comp!H45+Comp!H54</f>
        <v>263170.10277397017</v>
      </c>
      <c r="I18" s="11">
        <f>Comp!I36+Comp!I45+Comp!I54</f>
        <v>266852.45960300253</v>
      </c>
      <c r="J18" s="11">
        <f>Comp!J36+Comp!J45+Comp!J54</f>
        <v>270466.71938975097</v>
      </c>
      <c r="K18" s="11">
        <f>Comp!K36+Comp!K45+Comp!K54</f>
        <v>276280.77389647666</v>
      </c>
      <c r="L18" s="11">
        <f>Comp!L36+Comp!L45+Comp!L54</f>
        <v>280009.85989759455</v>
      </c>
      <c r="M18" s="11">
        <f>Comp!M36+Comp!M45+Comp!M54</f>
        <v>287508.80595180567</v>
      </c>
      <c r="N18" s="11">
        <f>Comp!N36+Comp!N45+Comp!N54</f>
        <v>293365.70305322815</v>
      </c>
      <c r="O18" s="11">
        <f>Comp!O36+Comp!O45+Comp!O54</f>
        <v>293235.99343390611</v>
      </c>
      <c r="P18" s="11">
        <f>Comp!P36+Comp!P45+Comp!P54</f>
        <v>293081.68854264915</v>
      </c>
      <c r="Q18" s="13">
        <f t="shared" si="2"/>
        <v>3244908.618375272</v>
      </c>
    </row>
    <row r="19" spans="2:17" x14ac:dyDescent="0.45">
      <c r="B19" t="s">
        <v>529</v>
      </c>
      <c r="C19" s="43" t="s">
        <v>314</v>
      </c>
      <c r="E19" s="11">
        <f>Comp!E37+Comp!E46+Comp!E55</f>
        <v>190558.97266493589</v>
      </c>
      <c r="F19" s="11">
        <f>Comp!F37+Comp!F46+Comp!F55</f>
        <v>193558.01358964774</v>
      </c>
      <c r="G19" s="11">
        <f>Comp!G37+Comp!G46+Comp!G55</f>
        <v>199453.05967098425</v>
      </c>
      <c r="H19" s="11">
        <f>Comp!H37+Comp!H46+Comp!H55</f>
        <v>213025.9550478161</v>
      </c>
      <c r="I19" s="11">
        <f>Comp!I37+Comp!I46+Comp!I55</f>
        <v>216006.679575652</v>
      </c>
      <c r="J19" s="11">
        <f>Comp!J37+Comp!J46+Comp!J55</f>
        <v>218932.28219824278</v>
      </c>
      <c r="K19" s="11">
        <f>Comp!K37+Comp!K46+Comp!K55</f>
        <v>223638.53302590249</v>
      </c>
      <c r="L19" s="11">
        <f>Comp!L37+Comp!L46+Comp!L55</f>
        <v>226657.08299974151</v>
      </c>
      <c r="M19" s="11">
        <f>Comp!M37+Comp!M46+Comp!M55</f>
        <v>232727.1879554796</v>
      </c>
      <c r="N19" s="11">
        <f>Comp!N37+Comp!N46+Comp!N55</f>
        <v>237468.11819602031</v>
      </c>
      <c r="O19" s="11">
        <f>Comp!O37+Comp!O46+Comp!O55</f>
        <v>237363.12330775711</v>
      </c>
      <c r="P19" s="11">
        <f>Comp!P37+Comp!P46+Comp!P55</f>
        <v>237238.21950416357</v>
      </c>
      <c r="Q19" s="13">
        <f t="shared" si="2"/>
        <v>2626627.2277363432</v>
      </c>
    </row>
    <row r="20" spans="2:17" x14ac:dyDescent="0.45">
      <c r="B20" t="s">
        <v>539</v>
      </c>
      <c r="C20" s="43" t="s">
        <v>314</v>
      </c>
      <c r="E20" s="11">
        <f>Comp!E38+Comp!E47+Comp!E56</f>
        <v>11415</v>
      </c>
      <c r="F20" s="11">
        <f>Comp!F38+Comp!F47+Comp!F56</f>
        <v>5415</v>
      </c>
      <c r="G20" s="11">
        <f>Comp!G38+Comp!G47+Comp!G56</f>
        <v>8415</v>
      </c>
      <c r="H20" s="11">
        <f>Comp!H38+Comp!H47+Comp!H56</f>
        <v>11415</v>
      </c>
      <c r="I20" s="11">
        <f>Comp!I38+Comp!I47+Comp!I56</f>
        <v>5520</v>
      </c>
      <c r="J20" s="11">
        <f>Comp!J38+Comp!J47+Comp!J56</f>
        <v>5553.7749999999996</v>
      </c>
      <c r="K20" s="11">
        <f>Comp!K38+Comp!K47+Comp!K56</f>
        <v>8622.1559583333328</v>
      </c>
      <c r="L20" s="11">
        <f>Comp!L38+Comp!L47+Comp!L56</f>
        <v>5724.7391388194446</v>
      </c>
      <c r="M20" s="11">
        <f>Comp!M38+Comp!M47+Comp!M56</f>
        <v>8757.3505155332168</v>
      </c>
      <c r="N20" s="11">
        <f>Comp!N38+Comp!N47+Comp!N56</f>
        <v>8789.9754678519967</v>
      </c>
      <c r="O20" s="11">
        <f>Comp!O38+Comp!O47+Comp!O56</f>
        <v>2858.0175735742796</v>
      </c>
      <c r="P20" s="11">
        <f>Comp!P38+Comp!P47+Comp!P56</f>
        <v>2891.4626585021397</v>
      </c>
      <c r="Q20" s="13">
        <f t="shared" si="2"/>
        <v>85377.476312614424</v>
      </c>
    </row>
    <row r="21" spans="2:17" x14ac:dyDescent="0.45">
      <c r="B21" t="s">
        <v>533</v>
      </c>
      <c r="C21" s="43" t="s">
        <v>314</v>
      </c>
      <c r="E21" s="11">
        <f>Comp!E39+Comp!E48+Comp!E57</f>
        <v>29122.000000000004</v>
      </c>
      <c r="F21" s="11">
        <f>Comp!F39+Comp!F48+Comp!F57</f>
        <v>29522.000000000004</v>
      </c>
      <c r="G21" s="11">
        <f>Comp!G39+Comp!G48+Comp!G57</f>
        <v>30308.000000000004</v>
      </c>
      <c r="H21" s="11">
        <f>Comp!H39+Comp!H48+Comp!H57</f>
        <v>31489.49666666667</v>
      </c>
      <c r="I21" s="11">
        <f>Comp!I39+Comp!I48+Comp!I57</f>
        <v>31875.875872222226</v>
      </c>
      <c r="J21" s="11">
        <f>Comp!J39+Comp!J48+Comp!J57</f>
        <v>32253.080653712965</v>
      </c>
      <c r="K21" s="11">
        <f>Comp!K39+Comp!K48+Comp!K57</f>
        <v>33035.054712752979</v>
      </c>
      <c r="L21" s="11">
        <f>Comp!L39+Comp!L48+Comp!L57</f>
        <v>33426.356535548643</v>
      </c>
      <c r="M21" s="11">
        <f>Comp!M39+Comp!M48+Comp!M57</f>
        <v>34212.934261143164</v>
      </c>
      <c r="N21" s="11">
        <f>Comp!N39+Comp!N48+Comp!N57</f>
        <v>34999.402635723141</v>
      </c>
      <c r="O21" s="11">
        <f>Comp!O39+Comp!O48+Comp!O57</f>
        <v>34985.81857662183</v>
      </c>
      <c r="P21" s="11">
        <f>Comp!P39+Comp!P48+Comp!P57</f>
        <v>34967.624852809306</v>
      </c>
      <c r="Q21" s="13">
        <f t="shared" si="2"/>
        <v>390197.64476720092</v>
      </c>
    </row>
    <row r="22" spans="2:17" x14ac:dyDescent="0.45">
      <c r="B22" t="s">
        <v>535</v>
      </c>
      <c r="C22" s="43" t="s">
        <v>314</v>
      </c>
      <c r="E22" s="11">
        <f>Comp!E40+Comp!E49+Comp!E58</f>
        <v>87366</v>
      </c>
      <c r="F22" s="11">
        <f>Comp!F40+Comp!F49+Comp!F58</f>
        <v>88566</v>
      </c>
      <c r="G22" s="11">
        <f>Comp!G40+Comp!G49+Comp!G58</f>
        <v>90924</v>
      </c>
      <c r="H22" s="11">
        <f>Comp!H40+Comp!H49+Comp!H58</f>
        <v>94468.49</v>
      </c>
      <c r="I22" s="11">
        <f>Comp!I40+Comp!I49+Comp!I58</f>
        <v>95627.627616666665</v>
      </c>
      <c r="J22" s="11">
        <f>Comp!J40+Comp!J49+Comp!J58</f>
        <v>96759.24196113889</v>
      </c>
      <c r="K22" s="11">
        <f>Comp!K40+Comp!K49+Comp!K58</f>
        <v>99105.164138258959</v>
      </c>
      <c r="L22" s="11">
        <f>Comp!L40+Comp!L49+Comp!L58</f>
        <v>100279.06960664592</v>
      </c>
      <c r="M22" s="11">
        <f>Comp!M40+Comp!M49+Comp!M58</f>
        <v>102638.80278342948</v>
      </c>
      <c r="N22" s="11">
        <f>Comp!N40+Comp!N49+Comp!N58</f>
        <v>104998.20790716943</v>
      </c>
      <c r="O22" s="11">
        <f>Comp!O40+Comp!O49+Comp!O58</f>
        <v>104957.45572986548</v>
      </c>
      <c r="P22" s="11">
        <f>Comp!P40+Comp!P49+Comp!P58</f>
        <v>104902.87455842794</v>
      </c>
      <c r="Q22" s="13">
        <f t="shared" si="2"/>
        <v>1170592.9343016027</v>
      </c>
    </row>
    <row r="23" spans="2:17" x14ac:dyDescent="0.45">
      <c r="B23" t="s">
        <v>540</v>
      </c>
      <c r="C23" s="43" t="s">
        <v>314</v>
      </c>
      <c r="E23" s="11">
        <f>x_rentPerMonth*Headcount!E165/Headcount!E190</f>
        <v>43100.56</v>
      </c>
      <c r="F23" s="11">
        <f>x_rentPerMonth*Headcount!F165/Headcount!F190</f>
        <v>42601.950078003116</v>
      </c>
      <c r="G23" s="11">
        <f>x_rentPerMonth*Headcount!G165/Headcount!G190</f>
        <v>42946.276750562974</v>
      </c>
      <c r="H23" s="11">
        <f>x_rentPerMonth*Headcount!H165/Headcount!H190</f>
        <v>43709.436861932933</v>
      </c>
      <c r="I23" s="11">
        <f>x_rentPerMonth*Headcount!I165/Headcount!I190</f>
        <v>43741.62249771753</v>
      </c>
      <c r="J23" s="11">
        <f>x_rentPerMonth*Headcount!J165/Headcount!J190</f>
        <v>43758.898191681692</v>
      </c>
      <c r="K23" s="11">
        <f>x_rentPerMonth*Headcount!K165/Headcount!K190</f>
        <v>43807.499512871807</v>
      </c>
      <c r="L23" s="11">
        <f>x_rentPerMonth*Headcount!L165/Headcount!L190</f>
        <v>43710.828417211087</v>
      </c>
      <c r="M23" s="11">
        <f>x_rentPerMonth*Headcount!M165/Headcount!M190</f>
        <v>44255.896064035725</v>
      </c>
      <c r="N23" s="11">
        <f>x_rentPerMonth*Headcount!N165/Headcount!N190</f>
        <v>44790.629103129904</v>
      </c>
      <c r="O23" s="11">
        <f>x_rentPerMonth*Headcount!O165/Headcount!O190</f>
        <v>44662.103235287657</v>
      </c>
      <c r="P23" s="11">
        <f>x_rentPerMonth*Headcount!P165/Headcount!P190</f>
        <v>44649.827741158653</v>
      </c>
      <c r="Q23" s="13">
        <f t="shared" si="2"/>
        <v>525735.52845359303</v>
      </c>
    </row>
    <row r="24" spans="2:17" x14ac:dyDescent="0.45">
      <c r="B24" t="s">
        <v>542</v>
      </c>
      <c r="C24" s="43" t="s">
        <v>314</v>
      </c>
      <c r="E24" s="11">
        <f>ARR!E7*x_commissionRate</f>
        <v>196000</v>
      </c>
      <c r="F24" s="11">
        <f>ARR!F7*x_commissionRate</f>
        <v>195649.99999999997</v>
      </c>
      <c r="G24" s="11">
        <f>ARR!G7*x_commissionRate</f>
        <v>196440.37777777773</v>
      </c>
      <c r="H24" s="11">
        <f>ARR!H7*x_commissionRate</f>
        <v>198344.57215740732</v>
      </c>
      <c r="I24" s="11">
        <f>ARR!I7*x_commissionRate</f>
        <v>202114.2642834259</v>
      </c>
      <c r="J24" s="11">
        <f>ARR!J7*x_commissionRate</f>
        <v>206946.03706344179</v>
      </c>
      <c r="K24" s="11">
        <f>ARR!K7*x_commissionRate</f>
        <v>212823.45786422366</v>
      </c>
      <c r="L24" s="11">
        <f>ARR!L7*x_commissionRate</f>
        <v>217925.23646927858</v>
      </c>
      <c r="M24" s="11">
        <f>ARR!M7*x_commissionRate</f>
        <v>223011.29886196498</v>
      </c>
      <c r="N24" s="11">
        <f>ARR!N7*x_commissionRate</f>
        <v>228089.97897764627</v>
      </c>
      <c r="O24" s="11">
        <f>ARR!O7*x_commissionRate</f>
        <v>232444.52396421551</v>
      </c>
      <c r="P24" s="11">
        <f>ARR!P7*x_commissionRate</f>
        <v>236030.00889855606</v>
      </c>
      <c r="Q24" s="13">
        <f t="shared" si="2"/>
        <v>2545819.7563179377</v>
      </c>
    </row>
    <row r="25" spans="2:17" x14ac:dyDescent="0.45">
      <c r="B25" s="46" t="s">
        <v>543</v>
      </c>
      <c r="C25" s="47" t="s">
        <v>314</v>
      </c>
      <c r="D25" s="48"/>
      <c r="E25" s="49">
        <f t="shared" ref="E25:P25" si="3">E17+E18+E19+E20+E21+E22+E23+E24</f>
        <v>1745772.0167548491</v>
      </c>
      <c r="F25" s="49">
        <f t="shared" si="3"/>
        <v>1762222.6371009552</v>
      </c>
      <c r="G25" s="49">
        <f t="shared" si="3"/>
        <v>1812154.298136835</v>
      </c>
      <c r="H25" s="49">
        <f t="shared" si="3"/>
        <v>1920752.8287468737</v>
      </c>
      <c r="I25" s="49">
        <f t="shared" si="3"/>
        <v>1941771.927326947</v>
      </c>
      <c r="J25" s="49">
        <f t="shared" si="3"/>
        <v>1969331.4454491825</v>
      </c>
      <c r="K25" s="49">
        <f t="shared" si="3"/>
        <v>2015505.3042383322</v>
      </c>
      <c r="L25" s="49">
        <f t="shared" si="3"/>
        <v>2041018.5880635469</v>
      </c>
      <c r="M25" s="49">
        <f t="shared" si="3"/>
        <v>2096748.2161707897</v>
      </c>
      <c r="N25" s="49">
        <f t="shared" si="3"/>
        <v>2139842.6063208706</v>
      </c>
      <c r="O25" s="49">
        <f t="shared" si="3"/>
        <v>2137322.6523600132</v>
      </c>
      <c r="P25" s="49">
        <f t="shared" si="3"/>
        <v>2139952.8042770848</v>
      </c>
      <c r="Q25" s="49">
        <f t="shared" si="2"/>
        <v>23722395.324946281</v>
      </c>
    </row>
    <row r="27" spans="2:17" ht="15.75" x14ac:dyDescent="0.5">
      <c r="B27" s="45" t="s">
        <v>483</v>
      </c>
    </row>
    <row r="28" spans="2:17" x14ac:dyDescent="0.45">
      <c r="B28" t="s">
        <v>526</v>
      </c>
      <c r="C28" s="43" t="s">
        <v>324</v>
      </c>
      <c r="E28" s="11">
        <f>Comp!E62+Comp!E71+Comp!E80</f>
        <v>422519.95584196207</v>
      </c>
      <c r="F28" s="11">
        <f>Comp!F62+Comp!F71+Comp!F80</f>
        <v>437426.88654426584</v>
      </c>
      <c r="G28" s="11">
        <f>Comp!G62+Comp!G71+Comp!G80</f>
        <v>437301.21273970621</v>
      </c>
      <c r="H28" s="11">
        <f>Comp!H62+Comp!H71+Comp!H80</f>
        <v>460760.61013736628</v>
      </c>
      <c r="I28" s="11">
        <f>Comp!I62+Comp!I71+Comp!I80</f>
        <v>460586.7401005383</v>
      </c>
      <c r="J28" s="11">
        <f>Comp!J62+Comp!J71+Comp!J80</f>
        <v>460464.53790566261</v>
      </c>
      <c r="K28" s="11">
        <f>Comp!K62+Comp!K71+Comp!K80</f>
        <v>471426.68225119461</v>
      </c>
      <c r="L28" s="11">
        <f>Comp!L62+Comp!L71+Comp!L80</f>
        <v>486770.7947807624</v>
      </c>
      <c r="M28" s="11">
        <f>Comp!M62+Comp!M71+Comp!M80</f>
        <v>486644.27184590761</v>
      </c>
      <c r="N28" s="11">
        <f>Comp!N62+Comp!N71+Comp!N80</f>
        <v>486338.84161660477</v>
      </c>
      <c r="O28" s="11">
        <f>Comp!O62+Comp!O71+Comp!O80</f>
        <v>486164.86642400833</v>
      </c>
      <c r="P28" s="11">
        <f>Comp!P62+Comp!P71+Comp!P80</f>
        <v>486171.93558817048</v>
      </c>
      <c r="Q28" s="13">
        <f t="shared" ref="Q28:Q36" si="4">SUM(E28:P28)</f>
        <v>5582577.3357761493</v>
      </c>
    </row>
    <row r="29" spans="2:17" x14ac:dyDescent="0.45">
      <c r="B29" t="s">
        <v>528</v>
      </c>
      <c r="C29" s="43" t="s">
        <v>324</v>
      </c>
      <c r="E29" s="11">
        <f>Comp!E63+Comp!E72+Comp!E81</f>
        <v>104395.37302205601</v>
      </c>
      <c r="F29" s="11">
        <f>Comp!F63+Comp!F72+Comp!F81</f>
        <v>108078.54720061013</v>
      </c>
      <c r="G29" s="11">
        <f>Comp!G63+Comp!G72+Comp!G81</f>
        <v>108047.49597208307</v>
      </c>
      <c r="H29" s="11">
        <f>Comp!H63+Comp!H72+Comp!H81</f>
        <v>113843.79626119274</v>
      </c>
      <c r="I29" s="11">
        <f>Comp!I63+Comp!I72+Comp!I81</f>
        <v>113800.83680542963</v>
      </c>
      <c r="J29" s="11">
        <f>Comp!J63+Comp!J72+Comp!J81</f>
        <v>113770.64333517628</v>
      </c>
      <c r="K29" s="11">
        <f>Comp!K63+Comp!K72+Comp!K81</f>
        <v>116479.14770816616</v>
      </c>
      <c r="L29" s="11">
        <f>Comp!L63+Comp!L72+Comp!L81</f>
        <v>120270.33988517136</v>
      </c>
      <c r="M29" s="11">
        <f>Comp!M63+Comp!M72+Comp!M81</f>
        <v>120239.07885525457</v>
      </c>
      <c r="N29" s="11">
        <f>Comp!N63+Comp!N72+Comp!N81</f>
        <v>120163.61377418699</v>
      </c>
      <c r="O29" s="11">
        <f>Comp!O63+Comp!O72+Comp!O81</f>
        <v>120120.62833675009</v>
      </c>
      <c r="P29" s="11">
        <f>Comp!P63+Comp!P72+Comp!P81</f>
        <v>120122.37497148168</v>
      </c>
      <c r="Q29" s="13">
        <f t="shared" si="4"/>
        <v>1379331.876127559</v>
      </c>
    </row>
    <row r="30" spans="2:17" x14ac:dyDescent="0.45">
      <c r="B30" t="s">
        <v>529</v>
      </c>
      <c r="C30" s="43" t="s">
        <v>324</v>
      </c>
      <c r="E30" s="11">
        <f>Comp!E64+Comp!E73+Comp!E82</f>
        <v>84503.991168392415</v>
      </c>
      <c r="F30" s="11">
        <f>Comp!F64+Comp!F73+Comp!F82</f>
        <v>87485.377308853174</v>
      </c>
      <c r="G30" s="11">
        <f>Comp!G64+Comp!G73+Comp!G82</f>
        <v>87460.242547941249</v>
      </c>
      <c r="H30" s="11">
        <f>Comp!H64+Comp!H73+Comp!H82</f>
        <v>92152.122027473262</v>
      </c>
      <c r="I30" s="11">
        <f>Comp!I64+Comp!I73+Comp!I82</f>
        <v>92117.34802010766</v>
      </c>
      <c r="J30" s="11">
        <f>Comp!J64+Comp!J73+Comp!J82</f>
        <v>92092.907581132531</v>
      </c>
      <c r="K30" s="11">
        <f>Comp!K64+Comp!K73+Comp!K82</f>
        <v>94285.33645023893</v>
      </c>
      <c r="L30" s="11">
        <f>Comp!L64+Comp!L73+Comp!L82</f>
        <v>97354.158956152489</v>
      </c>
      <c r="M30" s="11">
        <f>Comp!M64+Comp!M73+Comp!M82</f>
        <v>97328.854369181528</v>
      </c>
      <c r="N30" s="11">
        <f>Comp!N64+Comp!N73+Comp!N82</f>
        <v>97267.768323320954</v>
      </c>
      <c r="O30" s="11">
        <f>Comp!O64+Comp!O73+Comp!O82</f>
        <v>97232.973284801672</v>
      </c>
      <c r="P30" s="11">
        <f>Comp!P64+Comp!P73+Comp!P82</f>
        <v>97234.387117634105</v>
      </c>
      <c r="Q30" s="13">
        <f t="shared" si="4"/>
        <v>1116515.46715523</v>
      </c>
    </row>
    <row r="31" spans="2:17" x14ac:dyDescent="0.45">
      <c r="B31" t="s">
        <v>539</v>
      </c>
      <c r="C31" s="43" t="s">
        <v>324</v>
      </c>
      <c r="E31" s="11">
        <f>Comp!E65+Comp!E74+Comp!E83</f>
        <v>4050</v>
      </c>
      <c r="F31" s="11">
        <f>Comp!F65+Comp!F74+Comp!F83</f>
        <v>4050</v>
      </c>
      <c r="G31" s="11">
        <f>Comp!G65+Comp!G74+Comp!G83</f>
        <v>1050</v>
      </c>
      <c r="H31" s="11">
        <f>Comp!H65+Comp!H74+Comp!H83</f>
        <v>4050</v>
      </c>
      <c r="I31" s="11">
        <f>Comp!I65+Comp!I74+Comp!I83</f>
        <v>1085</v>
      </c>
      <c r="J31" s="11">
        <f>Comp!J65+Comp!J74+Comp!J83</f>
        <v>1119.5916666666667</v>
      </c>
      <c r="K31" s="11">
        <f>Comp!K65+Comp!K74+Comp!K83</f>
        <v>4118.7797638888896</v>
      </c>
      <c r="L31" s="11">
        <f>Comp!L65+Comp!L74+Comp!L83</f>
        <v>4152.9773333101848</v>
      </c>
      <c r="M31" s="11">
        <f>Comp!M65+Comp!M74+Comp!M83</f>
        <v>1152.1842644215665</v>
      </c>
      <c r="N31" s="11">
        <f>Comp!N65+Comp!N74+Comp!N83</f>
        <v>1151.8040174477592</v>
      </c>
      <c r="O31" s="11">
        <f>Comp!O65+Comp!O74+Comp!O83</f>
        <v>1186.4187344895724</v>
      </c>
      <c r="P31" s="11">
        <f>Comp!P65+Comp!P74+Comp!P83</f>
        <v>1221.0285848091462</v>
      </c>
      <c r="Q31" s="13">
        <f t="shared" si="4"/>
        <v>28387.784365033782</v>
      </c>
    </row>
    <row r="32" spans="2:17" x14ac:dyDescent="0.45">
      <c r="B32" t="s">
        <v>533</v>
      </c>
      <c r="C32" s="43" t="s">
        <v>324</v>
      </c>
      <c r="E32" s="11">
        <f>Comp!E66+Comp!E75+Comp!E84</f>
        <v>12540.000000000002</v>
      </c>
      <c r="F32" s="11">
        <f>Comp!F66+Comp!F75+Comp!F84</f>
        <v>12940.000000000002</v>
      </c>
      <c r="G32" s="11">
        <f>Comp!G66+Comp!G75+Comp!G84</f>
        <v>12935.333333333334</v>
      </c>
      <c r="H32" s="11">
        <f>Comp!H66+Comp!H75+Comp!H84</f>
        <v>13326.054444444444</v>
      </c>
      <c r="I32" s="11">
        <f>Comp!I66+Comp!I75+Comp!I84</f>
        <v>13321.550475925926</v>
      </c>
      <c r="J32" s="11">
        <f>Comp!J66+Comp!J75+Comp!J84</f>
        <v>13317.099053706792</v>
      </c>
      <c r="K32" s="11">
        <f>Comp!K66+Comp!K75+Comp!K84</f>
        <v>13712.645120302435</v>
      </c>
      <c r="L32" s="11">
        <f>Comp!L66+Comp!L75+Comp!L84</f>
        <v>14112.801562417424</v>
      </c>
      <c r="M32" s="11">
        <f>Comp!M66+Comp!M75+Comp!M84</f>
        <v>14108.236966408354</v>
      </c>
      <c r="N32" s="11">
        <f>Comp!N66+Comp!N75+Comp!N84</f>
        <v>14099.007024093504</v>
      </c>
      <c r="O32" s="11">
        <f>Comp!O66+Comp!O75+Comp!O84</f>
        <v>14094.499468549277</v>
      </c>
      <c r="P32" s="11">
        <f>Comp!P66+Comp!P75+Comp!P84</f>
        <v>14094.712992977738</v>
      </c>
      <c r="Q32" s="13">
        <f t="shared" si="4"/>
        <v>162601.94044215922</v>
      </c>
    </row>
    <row r="33" spans="2:17" x14ac:dyDescent="0.45">
      <c r="B33" t="s">
        <v>535</v>
      </c>
      <c r="C33" s="43" t="s">
        <v>324</v>
      </c>
      <c r="E33" s="11">
        <f>Comp!E67+Comp!E76+Comp!E85</f>
        <v>15675</v>
      </c>
      <c r="F33" s="11">
        <f>Comp!F67+Comp!F76+Comp!F85</f>
        <v>16175</v>
      </c>
      <c r="G33" s="11">
        <f>Comp!G67+Comp!G76+Comp!G85</f>
        <v>16169.166666666668</v>
      </c>
      <c r="H33" s="11">
        <f>Comp!H67+Comp!H76+Comp!H85</f>
        <v>16657.568055555555</v>
      </c>
      <c r="I33" s="11">
        <f>Comp!I67+Comp!I76+Comp!I85</f>
        <v>16651.938094907408</v>
      </c>
      <c r="J33" s="11">
        <f>Comp!J67+Comp!J76+Comp!J85</f>
        <v>16646.373817133488</v>
      </c>
      <c r="K33" s="11">
        <f>Comp!K67+Comp!K76+Comp!K85</f>
        <v>17140.806400378042</v>
      </c>
      <c r="L33" s="11">
        <f>Comp!L67+Comp!L76+Comp!L85</f>
        <v>17641.00195302178</v>
      </c>
      <c r="M33" s="11">
        <f>Comp!M67+Comp!M76+Comp!M85</f>
        <v>17635.296208010444</v>
      </c>
      <c r="N33" s="11">
        <f>Comp!N67+Comp!N76+Comp!N85</f>
        <v>17623.758780116881</v>
      </c>
      <c r="O33" s="11">
        <f>Comp!O67+Comp!O76+Comp!O85</f>
        <v>17618.124335686596</v>
      </c>
      <c r="P33" s="11">
        <f>Comp!P67+Comp!P76+Comp!P85</f>
        <v>17618.391241222173</v>
      </c>
      <c r="Q33" s="13">
        <f t="shared" si="4"/>
        <v>203252.42555269905</v>
      </c>
    </row>
    <row r="34" spans="2:17" x14ac:dyDescent="0.45">
      <c r="B34" t="s">
        <v>540</v>
      </c>
      <c r="C34" s="43" t="s">
        <v>324</v>
      </c>
      <c r="E34" s="11">
        <f>x_rentPerMonth*Headcount!E171/Headcount!E190</f>
        <v>18559.2</v>
      </c>
      <c r="F34" s="11">
        <f>x_rentPerMonth*Headcount!F171/Headcount!F190</f>
        <v>18673.166926677066</v>
      </c>
      <c r="G34" s="11">
        <f>x_rentPerMonth*Headcount!G171/Headcount!G190</f>
        <v>18329.299366309744</v>
      </c>
      <c r="H34" s="11">
        <f>x_rentPerMonth*Headcount!H171/Headcount!H190</f>
        <v>18497.416504427831</v>
      </c>
      <c r="I34" s="11">
        <f>x_rentPerMonth*Headcount!I171/Headcount!I190</f>
        <v>18280.477510267639</v>
      </c>
      <c r="J34" s="11">
        <f>x_rentPerMonth*Headcount!J171/Headcount!J190</f>
        <v>18067.780499988021</v>
      </c>
      <c r="K34" s="11">
        <f>x_rentPerMonth*Headcount!K171/Headcount!K190</f>
        <v>18184.219752356868</v>
      </c>
      <c r="L34" s="11">
        <f>x_rentPerMonth*Headcount!L171/Headcount!L190</f>
        <v>18454.965228559315</v>
      </c>
      <c r="M34" s="11">
        <f>x_rentPerMonth*Headcount!M171/Headcount!M190</f>
        <v>18249.608877928866</v>
      </c>
      <c r="N34" s="11">
        <f>x_rentPerMonth*Headcount!N171/Headcount!N190</f>
        <v>18043.262078251399</v>
      </c>
      <c r="O34" s="11">
        <f>x_rentPerMonth*Headcount!O171/Headcount!O190</f>
        <v>17992.718647854981</v>
      </c>
      <c r="P34" s="11">
        <f>x_rentPerMonth*Headcount!P171/Headcount!P190</f>
        <v>17997.405023834963</v>
      </c>
      <c r="Q34" s="13">
        <f t="shared" si="4"/>
        <v>219329.52041645668</v>
      </c>
    </row>
    <row r="35" spans="2:17" x14ac:dyDescent="0.45">
      <c r="B35" t="s">
        <v>544</v>
      </c>
      <c r="C35" s="43" t="s">
        <v>324</v>
      </c>
      <c r="E35" s="11">
        <f t="shared" ref="E35:P35" si="5">x_programsPerMonth*x_programsMult</f>
        <v>700000</v>
      </c>
      <c r="F35" s="11">
        <f t="shared" si="5"/>
        <v>700000</v>
      </c>
      <c r="G35" s="11">
        <f t="shared" si="5"/>
        <v>700000</v>
      </c>
      <c r="H35" s="11">
        <f t="shared" si="5"/>
        <v>700000</v>
      </c>
      <c r="I35" s="11">
        <f t="shared" si="5"/>
        <v>700000</v>
      </c>
      <c r="J35" s="11">
        <f t="shared" si="5"/>
        <v>700000</v>
      </c>
      <c r="K35" s="11">
        <f t="shared" si="5"/>
        <v>700000</v>
      </c>
      <c r="L35" s="11">
        <f t="shared" si="5"/>
        <v>700000</v>
      </c>
      <c r="M35" s="11">
        <f t="shared" si="5"/>
        <v>700000</v>
      </c>
      <c r="N35" s="11">
        <f t="shared" si="5"/>
        <v>700000</v>
      </c>
      <c r="O35" s="11">
        <f t="shared" si="5"/>
        <v>700000</v>
      </c>
      <c r="P35" s="11">
        <f t="shared" si="5"/>
        <v>700000</v>
      </c>
      <c r="Q35" s="13">
        <f t="shared" si="4"/>
        <v>8400000</v>
      </c>
    </row>
    <row r="36" spans="2:17" x14ac:dyDescent="0.45">
      <c r="B36" s="46" t="s">
        <v>545</v>
      </c>
      <c r="C36" s="47" t="s">
        <v>324</v>
      </c>
      <c r="D36" s="48"/>
      <c r="E36" s="49">
        <f t="shared" ref="E36:P36" si="6">E28+E29+E30+E31+E32+E33+E34+E35</f>
        <v>1362243.5200324105</v>
      </c>
      <c r="F36" s="49">
        <f t="shared" si="6"/>
        <v>1384828.9779804063</v>
      </c>
      <c r="G36" s="49">
        <f t="shared" si="6"/>
        <v>1381292.7506260402</v>
      </c>
      <c r="H36" s="49">
        <f t="shared" si="6"/>
        <v>1419287.5674304601</v>
      </c>
      <c r="I36" s="49">
        <f t="shared" si="6"/>
        <v>1415843.8910071766</v>
      </c>
      <c r="J36" s="49">
        <f t="shared" si="6"/>
        <v>1415478.9338594663</v>
      </c>
      <c r="K36" s="49">
        <f t="shared" si="6"/>
        <v>1435347.617446526</v>
      </c>
      <c r="L36" s="49">
        <f t="shared" si="6"/>
        <v>1458757.039699395</v>
      </c>
      <c r="M36" s="49">
        <f t="shared" si="6"/>
        <v>1455357.5313871128</v>
      </c>
      <c r="N36" s="49">
        <f t="shared" si="6"/>
        <v>1454688.0556140223</v>
      </c>
      <c r="O36" s="49">
        <f t="shared" si="6"/>
        <v>1454410.2292321406</v>
      </c>
      <c r="P36" s="49">
        <f t="shared" si="6"/>
        <v>1454460.2355201303</v>
      </c>
      <c r="Q36" s="49">
        <f t="shared" si="4"/>
        <v>17091996.349835288</v>
      </c>
    </row>
    <row r="38" spans="2:17" ht="15.75" x14ac:dyDescent="0.5">
      <c r="B38" s="45" t="s">
        <v>484</v>
      </c>
    </row>
    <row r="39" spans="2:17" x14ac:dyDescent="0.45">
      <c r="B39" t="s">
        <v>526</v>
      </c>
      <c r="C39" s="43" t="s">
        <v>333</v>
      </c>
      <c r="E39" s="11">
        <f>Comp!E89+Comp!E98+Comp!E107</f>
        <v>584769.00650470424</v>
      </c>
      <c r="F39" s="11">
        <f>Comp!F89+Comp!F98+Comp!F107</f>
        <v>594112.05817025458</v>
      </c>
      <c r="G39" s="11">
        <f>Comp!G89+Comp!G98+Comp!G107</f>
        <v>601837.90829175955</v>
      </c>
      <c r="H39" s="11">
        <f>Comp!H89+Comp!H98+Comp!H107</f>
        <v>619086.29546626692</v>
      </c>
      <c r="I39" s="11">
        <f>Comp!I89+Comp!I98+Comp!I107</f>
        <v>626927.51739084511</v>
      </c>
      <c r="J39" s="11">
        <f>Comp!J89+Comp!J98+Comp!J107</f>
        <v>636453.52211703756</v>
      </c>
      <c r="K39" s="11">
        <f>Comp!K89+Comp!K98+Comp!K107</f>
        <v>644409.20189855515</v>
      </c>
      <c r="L39" s="11">
        <f>Comp!L89+Comp!L98+Comp!L107</f>
        <v>644207.61166374537</v>
      </c>
      <c r="M39" s="11">
        <f>Comp!M89+Comp!M98+Comp!M107</f>
        <v>652049.75401249051</v>
      </c>
      <c r="N39" s="11">
        <f>Comp!N89+Comp!N98+Comp!N107</f>
        <v>661575.64181112859</v>
      </c>
      <c r="O39" s="11">
        <f>Comp!O89+Comp!O98+Comp!O107</f>
        <v>661487.53001406009</v>
      </c>
      <c r="P39" s="11">
        <f>Comp!P89+Comp!P98+Comp!P107</f>
        <v>661285.93096663977</v>
      </c>
      <c r="Q39" s="13">
        <f t="shared" ref="Q39:Q47" si="7">SUM(E39:P39)</f>
        <v>7588201.9783074884</v>
      </c>
    </row>
    <row r="40" spans="2:17" x14ac:dyDescent="0.45">
      <c r="B40" t="s">
        <v>528</v>
      </c>
      <c r="C40" s="43" t="s">
        <v>333</v>
      </c>
      <c r="E40" s="11">
        <f>Comp!E90+Comp!E99+Comp!E108</f>
        <v>144483.53911271726</v>
      </c>
      <c r="F40" s="11">
        <f>Comp!F90+Comp!F99+Comp!F108</f>
        <v>146792.00135291097</v>
      </c>
      <c r="G40" s="11">
        <f>Comp!G90+Comp!G99+Comp!G108</f>
        <v>148700.88871833682</v>
      </c>
      <c r="H40" s="11">
        <f>Comp!H90+Comp!H99+Comp!H108</f>
        <v>152962.58520915307</v>
      </c>
      <c r="I40" s="11">
        <f>Comp!I90+Comp!I99+Comp!I108</f>
        <v>154899.97840549063</v>
      </c>
      <c r="J40" s="11">
        <f>Comp!J90+Comp!J99+Comp!J108</f>
        <v>157253.64431653387</v>
      </c>
      <c r="K40" s="11">
        <f>Comp!K90+Comp!K99+Comp!K108</f>
        <v>159219.31752782763</v>
      </c>
      <c r="L40" s="11">
        <f>Comp!L90+Comp!L99+Comp!L108</f>
        <v>159169.50902181605</v>
      </c>
      <c r="M40" s="11">
        <f>Comp!M90+Comp!M99+Comp!M108</f>
        <v>161107.12963468843</v>
      </c>
      <c r="N40" s="11">
        <f>Comp!N90+Comp!N99+Comp!N108</f>
        <v>163460.76665550889</v>
      </c>
      <c r="O40" s="11">
        <f>Comp!O90+Comp!O99+Comp!O108</f>
        <v>163438.99617154611</v>
      </c>
      <c r="P40" s="11">
        <f>Comp!P90+Comp!P99+Comp!P108</f>
        <v>163389.18548813259</v>
      </c>
      <c r="Q40" s="13">
        <f t="shared" si="7"/>
        <v>1874877.5416146624</v>
      </c>
    </row>
    <row r="41" spans="2:17" x14ac:dyDescent="0.45">
      <c r="B41" t="s">
        <v>529</v>
      </c>
      <c r="C41" s="43" t="s">
        <v>333</v>
      </c>
      <c r="E41" s="11">
        <f>Comp!E91+Comp!E100+Comp!E109</f>
        <v>116953.80130094086</v>
      </c>
      <c r="F41" s="11">
        <f>Comp!F91+Comp!F100+Comp!F109</f>
        <v>118822.41163405095</v>
      </c>
      <c r="G41" s="11">
        <f>Comp!G91+Comp!G100+Comp!G109</f>
        <v>120367.58165835193</v>
      </c>
      <c r="H41" s="11">
        <f>Comp!H91+Comp!H100+Comp!H109</f>
        <v>123817.25909325341</v>
      </c>
      <c r="I41" s="11">
        <f>Comp!I91+Comp!I100+Comp!I109</f>
        <v>125385.50347816903</v>
      </c>
      <c r="J41" s="11">
        <f>Comp!J91+Comp!J100+Comp!J109</f>
        <v>127290.7044234075</v>
      </c>
      <c r="K41" s="11">
        <f>Comp!K91+Comp!K100+Comp!K109</f>
        <v>128881.84037971101</v>
      </c>
      <c r="L41" s="11">
        <f>Comp!L91+Comp!L100+Comp!L109</f>
        <v>128841.52233274907</v>
      </c>
      <c r="M41" s="11">
        <f>Comp!M91+Comp!M100+Comp!M109</f>
        <v>130409.95080249812</v>
      </c>
      <c r="N41" s="11">
        <f>Comp!N91+Comp!N100+Comp!N109</f>
        <v>132315.12836222572</v>
      </c>
      <c r="O41" s="11">
        <f>Comp!O91+Comp!O100+Comp!O109</f>
        <v>132297.50600281201</v>
      </c>
      <c r="P41" s="11">
        <f>Comp!P91+Comp!P100+Comp!P109</f>
        <v>132257.18619332794</v>
      </c>
      <c r="Q41" s="13">
        <f t="shared" si="7"/>
        <v>1517640.3956614973</v>
      </c>
    </row>
    <row r="42" spans="2:17" x14ac:dyDescent="0.45">
      <c r="B42" t="s">
        <v>539</v>
      </c>
      <c r="C42" s="43" t="s">
        <v>333</v>
      </c>
      <c r="E42" s="11">
        <f>Comp!E92+Comp!E101+Comp!E110</f>
        <v>5100</v>
      </c>
      <c r="F42" s="11">
        <f>Comp!F92+Comp!F101+Comp!F110</f>
        <v>5100</v>
      </c>
      <c r="G42" s="11">
        <f>Comp!G92+Comp!G101+Comp!G110</f>
        <v>5100</v>
      </c>
      <c r="H42" s="11">
        <f>Comp!H92+Comp!H101+Comp!H110</f>
        <v>2100</v>
      </c>
      <c r="I42" s="11">
        <f>Comp!I92+Comp!I101+Comp!I110</f>
        <v>5135</v>
      </c>
      <c r="J42" s="11">
        <f>Comp!J92+Comp!J101+Comp!J110</f>
        <v>5169.5916666666672</v>
      </c>
      <c r="K42" s="11">
        <f>Comp!K92+Comp!K101+Comp!K110</f>
        <v>5203.7797638888878</v>
      </c>
      <c r="L42" s="11">
        <f>Comp!L92+Comp!L101+Comp!L110</f>
        <v>2202.568999976852</v>
      </c>
      <c r="M42" s="11">
        <f>Comp!M92+Comp!M101+Comp!M110</f>
        <v>5236.780694977122</v>
      </c>
      <c r="N42" s="11">
        <f>Comp!N92+Comp!N101+Comp!N110</f>
        <v>5270.9968229801671</v>
      </c>
      <c r="O42" s="11">
        <f>Comp!O92+Comp!O101+Comp!O110</f>
        <v>2305.212623957435</v>
      </c>
      <c r="P42" s="11">
        <f>Comp!P92+Comp!P101+Comp!P110</f>
        <v>2304.015115010995</v>
      </c>
      <c r="Q42" s="13">
        <f t="shared" si="7"/>
        <v>50227.94568745813</v>
      </c>
    </row>
    <row r="43" spans="2:17" x14ac:dyDescent="0.45">
      <c r="B43" t="s">
        <v>533</v>
      </c>
      <c r="C43" s="43" t="s">
        <v>333</v>
      </c>
      <c r="E43" s="11">
        <f>Comp!E93+Comp!E102+Comp!E111</f>
        <v>24680</v>
      </c>
      <c r="F43" s="11">
        <f>Comp!F93+Comp!F102+Comp!F111</f>
        <v>25080</v>
      </c>
      <c r="G43" s="11">
        <f>Comp!G93+Comp!G102+Comp!G111</f>
        <v>25475.333333333332</v>
      </c>
      <c r="H43" s="11">
        <f>Comp!H93+Comp!H102+Comp!H111</f>
        <v>25466.054444444442</v>
      </c>
      <c r="I43" s="11">
        <f>Comp!I93+Comp!I102+Comp!I111</f>
        <v>25856.88380925926</v>
      </c>
      <c r="J43" s="11">
        <f>Comp!J93+Comp!J102+Comp!J111</f>
        <v>26252.48683148457</v>
      </c>
      <c r="K43" s="11">
        <f>Comp!K93+Comp!K102+Comp!K111</f>
        <v>26648.086707339469</v>
      </c>
      <c r="L43" s="11">
        <f>Comp!L93+Comp!L102+Comp!L111</f>
        <v>26638.962997605693</v>
      </c>
      <c r="M43" s="11">
        <f>Comp!M93+Comp!M102+Comp!M111</f>
        <v>27029.838740408322</v>
      </c>
      <c r="N43" s="11">
        <f>Comp!N93+Comp!N102+Comp!N111</f>
        <v>27425.436301470876</v>
      </c>
      <c r="O43" s="11">
        <f>Comp!O93+Comp!O102+Comp!O111</f>
        <v>27421.033889539343</v>
      </c>
      <c r="P43" s="11">
        <f>Comp!P93+Comp!P102+Comp!P111</f>
        <v>27411.909729133451</v>
      </c>
      <c r="Q43" s="13">
        <f t="shared" si="7"/>
        <v>315386.02678401885</v>
      </c>
    </row>
    <row r="44" spans="2:17" x14ac:dyDescent="0.45">
      <c r="B44" t="s">
        <v>535</v>
      </c>
      <c r="C44" s="43" t="s">
        <v>333</v>
      </c>
      <c r="E44" s="11">
        <f>Comp!E94+Comp!E103+Comp!E112</f>
        <v>15424.999999999998</v>
      </c>
      <c r="F44" s="11">
        <f>Comp!F94+Comp!F103+Comp!F112</f>
        <v>15674.999999999998</v>
      </c>
      <c r="G44" s="11">
        <f>Comp!G94+Comp!G103+Comp!G112</f>
        <v>15922.083333333332</v>
      </c>
      <c r="H44" s="11">
        <f>Comp!H94+Comp!H103+Comp!H112</f>
        <v>15916.284027777776</v>
      </c>
      <c r="I44" s="11">
        <f>Comp!I94+Comp!I103+Comp!I112</f>
        <v>16160.552380787036</v>
      </c>
      <c r="J44" s="11">
        <f>Comp!J94+Comp!J103+Comp!J112</f>
        <v>16407.804269677854</v>
      </c>
      <c r="K44" s="11">
        <f>Comp!K94+Comp!K103+Comp!K112</f>
        <v>16655.054192087169</v>
      </c>
      <c r="L44" s="11">
        <f>Comp!L94+Comp!L103+Comp!L112</f>
        <v>16649.351873503558</v>
      </c>
      <c r="M44" s="11">
        <f>Comp!M94+Comp!M103+Comp!M112</f>
        <v>16893.649212755201</v>
      </c>
      <c r="N44" s="11">
        <f>Comp!N94+Comp!N103+Comp!N112</f>
        <v>17140.8976884193</v>
      </c>
      <c r="O44" s="11">
        <f>Comp!O94+Comp!O103+Comp!O112</f>
        <v>17138.146180962092</v>
      </c>
      <c r="P44" s="11">
        <f>Comp!P94+Comp!P103+Comp!P112</f>
        <v>17132.443580708405</v>
      </c>
      <c r="Q44" s="13">
        <f t="shared" si="7"/>
        <v>197116.26674001172</v>
      </c>
    </row>
    <row r="45" spans="2:17" x14ac:dyDescent="0.45">
      <c r="B45" t="s">
        <v>540</v>
      </c>
      <c r="C45" s="43" t="s">
        <v>333</v>
      </c>
      <c r="E45" s="11">
        <f>x_rentPerMonth*Headcount!E177/Headcount!E190</f>
        <v>36526.400000000001</v>
      </c>
      <c r="F45" s="11">
        <f>x_rentPerMonth*Headcount!F177/Headcount!F190</f>
        <v>36191.887675507023</v>
      </c>
      <c r="G45" s="11">
        <f>x_rentPerMonth*Headcount!G177/Headcount!G190</f>
        <v>36098.41347651364</v>
      </c>
      <c r="H45" s="11">
        <f>x_rentPerMonth*Headcount!H177/Headcount!H190</f>
        <v>35348.513526425282</v>
      </c>
      <c r="I45" s="11">
        <f>x_rentPerMonth*Headcount!I177/Headcount!I190</f>
        <v>35482.069734672797</v>
      </c>
      <c r="J45" s="11">
        <f>x_rentPerMonth*Headcount!J177/Headcount!J190</f>
        <v>35617.679776742516</v>
      </c>
      <c r="K45" s="11">
        <f>x_rentPerMonth*Headcount!K177/Headcount!K190</f>
        <v>35337.796640611494</v>
      </c>
      <c r="L45" s="11">
        <f>x_rentPerMonth*Headcount!L177/Headcount!L190</f>
        <v>34835.11999168789</v>
      </c>
      <c r="M45" s="11">
        <f>x_rentPerMonth*Headcount!M177/Headcount!M190</f>
        <v>34964.254301968991</v>
      </c>
      <c r="N45" s="11">
        <f>x_rentPerMonth*Headcount!N177/Headcount!N190</f>
        <v>35097.814615752686</v>
      </c>
      <c r="O45" s="11">
        <f>x_rentPerMonth*Headcount!O177/Headcount!O190</f>
        <v>35005.070517666325</v>
      </c>
      <c r="P45" s="11">
        <f>x_rentPerMonth*Headcount!P177/Headcount!P190</f>
        <v>35002.00693109609</v>
      </c>
      <c r="Q45" s="13">
        <f t="shared" si="7"/>
        <v>425507.02718864469</v>
      </c>
    </row>
    <row r="46" spans="2:17" x14ac:dyDescent="0.45">
      <c r="B46" t="s">
        <v>546</v>
      </c>
      <c r="C46" s="43" t="s">
        <v>333</v>
      </c>
      <c r="E46" s="11">
        <f>ARR!E14*x_hostingPct</f>
        <v>908439.58333333337</v>
      </c>
      <c r="F46" s="11">
        <f>ARR!F14*x_hostingPct</f>
        <v>928661.30729166674</v>
      </c>
      <c r="G46" s="11">
        <f>ARR!G14*x_hostingPct</f>
        <v>948953.76954137743</v>
      </c>
      <c r="H46" s="11">
        <f>ARR!H14*x_hostingPct</f>
        <v>969420.46417059342</v>
      </c>
      <c r="I46" s="11">
        <f>ARR!I14*x_hostingPct</f>
        <v>990198.37866789114</v>
      </c>
      <c r="J46" s="11">
        <f>ARR!J14*x_hostingPct</f>
        <v>1011422.4717596258</v>
      </c>
      <c r="K46" s="11">
        <f>ARR!K14*x_hostingPct</f>
        <v>1033877.9631232095</v>
      </c>
      <c r="L46" s="11">
        <f>ARR!L14*x_hostingPct</f>
        <v>1057580.306521303</v>
      </c>
      <c r="M46" s="11">
        <f>ARR!M14*x_hostingPct</f>
        <v>1081808.8484902885</v>
      </c>
      <c r="N46" s="11">
        <f>ARR!N14*x_hostingPct</f>
        <v>1106563.8458458297</v>
      </c>
      <c r="O46" s="11">
        <f>ARR!O14*x_hostingPct</f>
        <v>1131813.0868452797</v>
      </c>
      <c r="P46" s="11">
        <f>ARR!P14*x_hostingPct</f>
        <v>1157489.3689852699</v>
      </c>
      <c r="Q46" s="13">
        <f t="shared" si="7"/>
        <v>12326229.394575667</v>
      </c>
    </row>
    <row r="47" spans="2:17" x14ac:dyDescent="0.45">
      <c r="B47" s="46" t="s">
        <v>547</v>
      </c>
      <c r="C47" s="47" t="s">
        <v>333</v>
      </c>
      <c r="D47" s="48"/>
      <c r="E47" s="49">
        <f t="shared" ref="E47:P47" si="8">E39+E40+E41+E42+E43+E44+E45+E46</f>
        <v>1836377.3302516958</v>
      </c>
      <c r="F47" s="49">
        <f t="shared" si="8"/>
        <v>1870434.6661243902</v>
      </c>
      <c r="G47" s="49">
        <f t="shared" si="8"/>
        <v>1902455.9783530061</v>
      </c>
      <c r="H47" s="49">
        <f t="shared" si="8"/>
        <v>1944117.4559379141</v>
      </c>
      <c r="I47" s="49">
        <f t="shared" si="8"/>
        <v>1980045.8838671152</v>
      </c>
      <c r="J47" s="49">
        <f t="shared" si="8"/>
        <v>2015867.9051611763</v>
      </c>
      <c r="K47" s="49">
        <f t="shared" si="8"/>
        <v>2050233.0402332305</v>
      </c>
      <c r="L47" s="49">
        <f t="shared" si="8"/>
        <v>2070124.9534023874</v>
      </c>
      <c r="M47" s="49">
        <f t="shared" si="8"/>
        <v>2109500.2058900753</v>
      </c>
      <c r="N47" s="49">
        <f t="shared" si="8"/>
        <v>2148850.5281033157</v>
      </c>
      <c r="O47" s="49">
        <f t="shared" si="8"/>
        <v>2170906.582245823</v>
      </c>
      <c r="P47" s="49">
        <f t="shared" si="8"/>
        <v>2196272.0469893189</v>
      </c>
      <c r="Q47" s="49">
        <f t="shared" si="7"/>
        <v>24295186.576559443</v>
      </c>
    </row>
    <row r="49" spans="2:17" ht="15.75" x14ac:dyDescent="0.5">
      <c r="B49" s="45" t="s">
        <v>485</v>
      </c>
    </row>
    <row r="50" spans="2:17" x14ac:dyDescent="0.45">
      <c r="B50" t="s">
        <v>526</v>
      </c>
      <c r="C50" s="43" t="s">
        <v>342</v>
      </c>
      <c r="E50" s="11">
        <f>Comp!E116+Comp!E125+Comp!E134</f>
        <v>630060.56817246194</v>
      </c>
      <c r="F50" s="11">
        <f>Comp!F116+Comp!F125+Comp!F134</f>
        <v>642610.32297747955</v>
      </c>
      <c r="G50" s="11">
        <f>Comp!G116+Comp!G125+Comp!G134</f>
        <v>642497.41538819857</v>
      </c>
      <c r="H50" s="11">
        <f>Comp!H116+Comp!H125+Comp!H134</f>
        <v>670822.80354884733</v>
      </c>
      <c r="I50" s="11">
        <f>Comp!I116+Comp!I125+Comp!I134</f>
        <v>670676.5965377246</v>
      </c>
      <c r="J50" s="11">
        <f>Comp!J116+Comp!J125+Comp!J134</f>
        <v>670566.57317212922</v>
      </c>
      <c r="K50" s="11">
        <f>Comp!K116+Comp!K125+Comp!K134</f>
        <v>683370.17565121956</v>
      </c>
      <c r="L50" s="11">
        <f>Comp!L116+Comp!L125+Comp!L134</f>
        <v>693332.89882437885</v>
      </c>
      <c r="M50" s="11">
        <f>Comp!M116+Comp!M125+Comp!M134</f>
        <v>693184.75720707141</v>
      </c>
      <c r="N50" s="11">
        <f>Comp!N116+Comp!N125+Comp!N134</f>
        <v>692920.87839333049</v>
      </c>
      <c r="O50" s="11">
        <f>Comp!O116+Comp!O125+Comp!O134</f>
        <v>692809.45352800586</v>
      </c>
      <c r="P50" s="11">
        <f>Comp!P116+Comp!P125+Comp!P134</f>
        <v>692815.56038979685</v>
      </c>
      <c r="Q50" s="13">
        <f t="shared" ref="Q50:Q59" si="9">SUM(E50:P50)</f>
        <v>8075668.003790644</v>
      </c>
    </row>
    <row r="51" spans="2:17" x14ac:dyDescent="0.45">
      <c r="B51" t="s">
        <v>528</v>
      </c>
      <c r="C51" s="43" t="s">
        <v>342</v>
      </c>
      <c r="E51" s="11">
        <f>Comp!E117+Comp!E126+Comp!E135</f>
        <v>155674.08623287638</v>
      </c>
      <c r="F51" s="11">
        <f>Comp!F117+Comp!F126+Comp!F135</f>
        <v>158774.85417552755</v>
      </c>
      <c r="G51" s="11">
        <f>Comp!G117+Comp!G126+Comp!G135</f>
        <v>158746.95719755755</v>
      </c>
      <c r="H51" s="11">
        <f>Comp!H117+Comp!H126+Comp!H135</f>
        <v>165745.53660697956</v>
      </c>
      <c r="I51" s="11">
        <f>Comp!I117+Comp!I126+Comp!I135</f>
        <v>165709.41207545495</v>
      </c>
      <c r="J51" s="11">
        <f>Comp!J117+Comp!J126+Comp!J135</f>
        <v>165682.22772561852</v>
      </c>
      <c r="K51" s="11">
        <f>Comp!K117+Comp!K126+Comp!K135</f>
        <v>168845.71583629775</v>
      </c>
      <c r="L51" s="11">
        <f>Comp!L117+Comp!L126+Comp!L135</f>
        <v>171307.28525472892</v>
      </c>
      <c r="M51" s="11">
        <f>Comp!M117+Comp!M126+Comp!M135</f>
        <v>171270.68272463517</v>
      </c>
      <c r="N51" s="11">
        <f>Comp!N117+Comp!N126+Comp!N135</f>
        <v>171205.48408298002</v>
      </c>
      <c r="O51" s="11">
        <f>Comp!O117+Comp!O126+Comp!O135</f>
        <v>171177.95345343539</v>
      </c>
      <c r="P51" s="11">
        <f>Comp!P117+Comp!P126+Comp!P135</f>
        <v>171179.46232445049</v>
      </c>
      <c r="Q51" s="13">
        <f t="shared" si="9"/>
        <v>1995319.6576905423</v>
      </c>
    </row>
    <row r="52" spans="2:17" x14ac:dyDescent="0.45">
      <c r="B52" t="s">
        <v>529</v>
      </c>
      <c r="C52" s="43" t="s">
        <v>342</v>
      </c>
      <c r="E52" s="11">
        <f>Comp!E118+Comp!E127+Comp!E136</f>
        <v>126012.1136344924</v>
      </c>
      <c r="F52" s="11">
        <f>Comp!F118+Comp!F127+Comp!F136</f>
        <v>128522.06459549592</v>
      </c>
      <c r="G52" s="11">
        <f>Comp!G118+Comp!G127+Comp!G136</f>
        <v>128499.48307763973</v>
      </c>
      <c r="H52" s="11">
        <f>Comp!H118+Comp!H127+Comp!H136</f>
        <v>134164.56070976946</v>
      </c>
      <c r="I52" s="11">
        <f>Comp!I118+Comp!I127+Comp!I136</f>
        <v>134135.31930754494</v>
      </c>
      <c r="J52" s="11">
        <f>Comp!J118+Comp!J127+Comp!J136</f>
        <v>134113.31463442586</v>
      </c>
      <c r="K52" s="11">
        <f>Comp!K118+Comp!K127+Comp!K136</f>
        <v>136674.03513024392</v>
      </c>
      <c r="L52" s="11">
        <f>Comp!L118+Comp!L127+Comp!L136</f>
        <v>138666.57976487579</v>
      </c>
      <c r="M52" s="11">
        <f>Comp!M118+Comp!M127+Comp!M136</f>
        <v>138636.95144141431</v>
      </c>
      <c r="N52" s="11">
        <f>Comp!N118+Comp!N127+Comp!N136</f>
        <v>138584.1756786661</v>
      </c>
      <c r="O52" s="11">
        <f>Comp!O118+Comp!O127+Comp!O136</f>
        <v>138561.8907056012</v>
      </c>
      <c r="P52" s="11">
        <f>Comp!P118+Comp!P127+Comp!P136</f>
        <v>138563.11207795938</v>
      </c>
      <c r="Q52" s="13">
        <f t="shared" si="9"/>
        <v>1615133.6007581293</v>
      </c>
    </row>
    <row r="53" spans="2:17" x14ac:dyDescent="0.45">
      <c r="B53" t="s">
        <v>539</v>
      </c>
      <c r="C53" s="43" t="s">
        <v>342</v>
      </c>
      <c r="E53" s="11">
        <f>Comp!E119+Comp!E128+Comp!E137</f>
        <v>4785</v>
      </c>
      <c r="F53" s="11">
        <f>Comp!F119+Comp!F128+Comp!F137</f>
        <v>4785</v>
      </c>
      <c r="G53" s="11">
        <f>Comp!G119+Comp!G128+Comp!G137</f>
        <v>1785</v>
      </c>
      <c r="H53" s="11">
        <f>Comp!H119+Comp!H128+Comp!H137</f>
        <v>4785</v>
      </c>
      <c r="I53" s="11">
        <f>Comp!I119+Comp!I128+Comp!I137</f>
        <v>1820</v>
      </c>
      <c r="J53" s="11">
        <f>Comp!J119+Comp!J128+Comp!J137</f>
        <v>1854.5916666666667</v>
      </c>
      <c r="K53" s="11">
        <f>Comp!K119+Comp!K128+Comp!K137</f>
        <v>4853.7797638888887</v>
      </c>
      <c r="L53" s="11">
        <f>Comp!L119+Comp!L128+Comp!L137</f>
        <v>4887.9773333101857</v>
      </c>
      <c r="M53" s="11">
        <f>Comp!M119+Comp!M128+Comp!M137</f>
        <v>1887.1842644215662</v>
      </c>
      <c r="N53" s="11">
        <f>Comp!N119+Comp!N128+Comp!N137</f>
        <v>1886.8040174477592</v>
      </c>
      <c r="O53" s="11">
        <f>Comp!O119+Comp!O128+Comp!O137</f>
        <v>1921.4187344895727</v>
      </c>
      <c r="P53" s="11">
        <f>Comp!P119+Comp!P128+Comp!P137</f>
        <v>1956.0285848091462</v>
      </c>
      <c r="Q53" s="13">
        <f t="shared" si="9"/>
        <v>37207.784365033775</v>
      </c>
    </row>
    <row r="54" spans="2:17" x14ac:dyDescent="0.45">
      <c r="B54" t="s">
        <v>533</v>
      </c>
      <c r="C54" s="43" t="s">
        <v>342</v>
      </c>
      <c r="E54" s="11">
        <f>Comp!E120+Comp!E129+Comp!E138</f>
        <v>21038</v>
      </c>
      <c r="F54" s="11">
        <f>Comp!F120+Comp!F129+Comp!F138</f>
        <v>21438</v>
      </c>
      <c r="G54" s="11">
        <f>Comp!G120+Comp!G129+Comp!G138</f>
        <v>21433.333333333332</v>
      </c>
      <c r="H54" s="11">
        <f>Comp!H120+Comp!H129+Comp!H138</f>
        <v>21824.054444444442</v>
      </c>
      <c r="I54" s="11">
        <f>Comp!I120+Comp!I129+Comp!I138</f>
        <v>21819.550475925924</v>
      </c>
      <c r="J54" s="11">
        <f>Comp!J120+Comp!J129+Comp!J138</f>
        <v>21815.099053706788</v>
      </c>
      <c r="K54" s="11">
        <f>Comp!K120+Comp!K129+Comp!K138</f>
        <v>22210.645120302433</v>
      </c>
      <c r="L54" s="11">
        <f>Comp!L120+Comp!L129+Comp!L138</f>
        <v>22610.801562417426</v>
      </c>
      <c r="M54" s="11">
        <f>Comp!M120+Comp!M129+Comp!M138</f>
        <v>22606.236966408356</v>
      </c>
      <c r="N54" s="11">
        <f>Comp!N120+Comp!N129+Comp!N138</f>
        <v>22597.007024093506</v>
      </c>
      <c r="O54" s="11">
        <f>Comp!O120+Comp!O129+Comp!O138</f>
        <v>22592.499468549275</v>
      </c>
      <c r="P54" s="11">
        <f>Comp!P120+Comp!P129+Comp!P138</f>
        <v>22592.71299297774</v>
      </c>
      <c r="Q54" s="13">
        <f t="shared" si="9"/>
        <v>264577.94044215919</v>
      </c>
    </row>
    <row r="55" spans="2:17" x14ac:dyDescent="0.45">
      <c r="B55" t="s">
        <v>535</v>
      </c>
      <c r="C55" s="43" t="s">
        <v>342</v>
      </c>
      <c r="E55" s="11">
        <f>Comp!E121+Comp!E130+Comp!E139</f>
        <v>13148.750000000002</v>
      </c>
      <c r="F55" s="11">
        <f>Comp!F121+Comp!F130+Comp!F139</f>
        <v>13398.750000000002</v>
      </c>
      <c r="G55" s="11">
        <f>Comp!G121+Comp!G130+Comp!G139</f>
        <v>13395.833333333334</v>
      </c>
      <c r="H55" s="11">
        <f>Comp!H121+Comp!H130+Comp!H139</f>
        <v>13640.034027777778</v>
      </c>
      <c r="I55" s="11">
        <f>Comp!I121+Comp!I130+Comp!I139</f>
        <v>13637.219047453704</v>
      </c>
      <c r="J55" s="11">
        <f>Comp!J121+Comp!J130+Comp!J139</f>
        <v>13634.436908566744</v>
      </c>
      <c r="K55" s="11">
        <f>Comp!K121+Comp!K130+Comp!K139</f>
        <v>13881.653200189021</v>
      </c>
      <c r="L55" s="11">
        <f>Comp!L121+Comp!L130+Comp!L139</f>
        <v>14131.750976510892</v>
      </c>
      <c r="M55" s="11">
        <f>Comp!M121+Comp!M130+Comp!M139</f>
        <v>14128.898104005224</v>
      </c>
      <c r="N55" s="11">
        <f>Comp!N121+Comp!N130+Comp!N139</f>
        <v>14123.129390058441</v>
      </c>
      <c r="O55" s="11">
        <f>Comp!O121+Comp!O130+Comp!O139</f>
        <v>14120.3121678433</v>
      </c>
      <c r="P55" s="11">
        <f>Comp!P121+Comp!P130+Comp!P139</f>
        <v>14120.445620611088</v>
      </c>
      <c r="Q55" s="13">
        <f t="shared" si="9"/>
        <v>165361.21277634951</v>
      </c>
    </row>
    <row r="56" spans="2:17" x14ac:dyDescent="0.45">
      <c r="B56" t="s">
        <v>540</v>
      </c>
      <c r="C56" s="43" t="s">
        <v>342</v>
      </c>
      <c r="E56" s="11">
        <f>x_rentPerMonth*Headcount!E183/Headcount!E190</f>
        <v>31136.240000000002</v>
      </c>
      <c r="F56" s="11">
        <f>x_rentPerMonth*Headcount!F183/Headcount!F190</f>
        <v>30936.271450858036</v>
      </c>
      <c r="G56" s="11">
        <f>x_rentPerMonth*Headcount!G183/Headcount!G190</f>
        <v>30370.920714675991</v>
      </c>
      <c r="H56" s="11">
        <f>x_rentPerMonth*Headcount!H183/Headcount!H190</f>
        <v>30293.184419826055</v>
      </c>
      <c r="I56" s="11">
        <f>x_rentPerMonth*Headcount!I183/Headcount!I190</f>
        <v>29941.845168858963</v>
      </c>
      <c r="J56" s="11">
        <f>x_rentPerMonth*Headcount!J183/Headcount!J190</f>
        <v>29597.318432362321</v>
      </c>
      <c r="K56" s="11">
        <f>x_rentPerMonth*Headcount!K183/Headcount!K190</f>
        <v>29453.34384182507</v>
      </c>
      <c r="L56" s="11">
        <f>x_rentPerMonth*Headcount!L183/Headcount!L190</f>
        <v>29567.591861809669</v>
      </c>
      <c r="M56" s="11">
        <f>x_rentPerMonth*Headcount!M183/Headcount!M190</f>
        <v>29242.135911171688</v>
      </c>
      <c r="N56" s="11">
        <f>x_rentPerMonth*Headcount!N183/Headcount!N190</f>
        <v>28918.612440085755</v>
      </c>
      <c r="O56" s="11">
        <f>x_rentPerMonth*Headcount!O183/Headcount!O190</f>
        <v>28841.072887795195</v>
      </c>
      <c r="P56" s="11">
        <f>x_rentPerMonth*Headcount!P183/Headcount!P190</f>
        <v>28848.42043427633</v>
      </c>
      <c r="Q56" s="13">
        <f t="shared" si="9"/>
        <v>357146.95756354509</v>
      </c>
    </row>
    <row r="57" spans="2:17" x14ac:dyDescent="0.45">
      <c r="B57" t="s">
        <v>548</v>
      </c>
      <c r="C57" s="43" t="s">
        <v>342</v>
      </c>
      <c r="E57" s="11">
        <f t="shared" ref="E57:P57" si="10">x_gaOtherPerMonth</f>
        <v>250000</v>
      </c>
      <c r="F57" s="11">
        <f t="shared" si="10"/>
        <v>250000</v>
      </c>
      <c r="G57" s="11">
        <f t="shared" si="10"/>
        <v>250000</v>
      </c>
      <c r="H57" s="11">
        <f t="shared" si="10"/>
        <v>250000</v>
      </c>
      <c r="I57" s="11">
        <f t="shared" si="10"/>
        <v>250000</v>
      </c>
      <c r="J57" s="11">
        <f t="shared" si="10"/>
        <v>250000</v>
      </c>
      <c r="K57" s="11">
        <f t="shared" si="10"/>
        <v>250000</v>
      </c>
      <c r="L57" s="11">
        <f t="shared" si="10"/>
        <v>250000</v>
      </c>
      <c r="M57" s="11">
        <f t="shared" si="10"/>
        <v>250000</v>
      </c>
      <c r="N57" s="11">
        <f t="shared" si="10"/>
        <v>250000</v>
      </c>
      <c r="O57" s="11">
        <f t="shared" si="10"/>
        <v>250000</v>
      </c>
      <c r="P57" s="11">
        <f t="shared" si="10"/>
        <v>250000</v>
      </c>
      <c r="Q57" s="13">
        <f t="shared" si="9"/>
        <v>3000000</v>
      </c>
    </row>
    <row r="58" spans="2:17" x14ac:dyDescent="0.45">
      <c r="B58" t="s">
        <v>549</v>
      </c>
      <c r="C58" s="43" t="s">
        <v>342</v>
      </c>
      <c r="E58" s="11">
        <f>Headcount!E191*x_recruitPerHire</f>
        <v>187500</v>
      </c>
      <c r="F58" s="11">
        <f>Headcount!F191*x_recruitPerHire</f>
        <v>172500</v>
      </c>
      <c r="G58" s="11">
        <f>Headcount!G191*x_recruitPerHire</f>
        <v>142500</v>
      </c>
      <c r="H58" s="11">
        <f>Headcount!H191*x_recruitPerHire</f>
        <v>157500</v>
      </c>
      <c r="I58" s="11">
        <f>Headcount!I191*x_recruitPerHire</f>
        <v>114075</v>
      </c>
      <c r="J58" s="11">
        <f>Headcount!J191*x_recruitPerHire</f>
        <v>115456.625</v>
      </c>
      <c r="K58" s="11">
        <f>Headcount!K191*x_recruitPerHire</f>
        <v>176472.13104166667</v>
      </c>
      <c r="L58" s="11">
        <f>Headcount!L191*x_recruitPerHire</f>
        <v>132650.78951284723</v>
      </c>
      <c r="M58" s="11">
        <f>Headcount!M191*x_recruitPerHire</f>
        <v>118309.07196853068</v>
      </c>
      <c r="N58" s="11">
        <f>Headcount!N191*x_recruitPerHire</f>
        <v>118975.79342056447</v>
      </c>
      <c r="O58" s="11">
        <f>Headcount!O191*x_recruitPerHire</f>
        <v>75346.584026144017</v>
      </c>
      <c r="P58" s="11">
        <f>Headcount!P191*x_recruitPerHire</f>
        <v>61190.133090155548</v>
      </c>
      <c r="Q58" s="13">
        <f t="shared" si="9"/>
        <v>1572476.1280599087</v>
      </c>
    </row>
    <row r="59" spans="2:17" x14ac:dyDescent="0.45">
      <c r="B59" s="46" t="s">
        <v>550</v>
      </c>
      <c r="C59" s="47" t="s">
        <v>342</v>
      </c>
      <c r="D59" s="48"/>
      <c r="E59" s="49">
        <f t="shared" ref="E59:P59" si="11">E50+E51+E52+E53+E54+E55+E56+E57+E58</f>
        <v>1419354.7580398307</v>
      </c>
      <c r="F59" s="49">
        <f t="shared" si="11"/>
        <v>1422965.263199361</v>
      </c>
      <c r="G59" s="49">
        <f t="shared" si="11"/>
        <v>1389228.9430447386</v>
      </c>
      <c r="H59" s="49">
        <f t="shared" si="11"/>
        <v>1448775.1737576446</v>
      </c>
      <c r="I59" s="49">
        <f t="shared" si="11"/>
        <v>1401814.9426129633</v>
      </c>
      <c r="J59" s="49">
        <f t="shared" si="11"/>
        <v>1402720.186593476</v>
      </c>
      <c r="K59" s="49">
        <f t="shared" si="11"/>
        <v>1485761.4795856334</v>
      </c>
      <c r="L59" s="49">
        <f t="shared" si="11"/>
        <v>1457155.6750908792</v>
      </c>
      <c r="M59" s="49">
        <f t="shared" si="11"/>
        <v>1439265.9185876586</v>
      </c>
      <c r="N59" s="49">
        <f t="shared" si="11"/>
        <v>1439211.8844472265</v>
      </c>
      <c r="O59" s="49">
        <f t="shared" si="11"/>
        <v>1395371.1849718639</v>
      </c>
      <c r="P59" s="49">
        <f t="shared" si="11"/>
        <v>1381265.8755150363</v>
      </c>
      <c r="Q59" s="49">
        <f t="shared" si="9"/>
        <v>17082891.285446309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Q31"/>
  <sheetViews>
    <sheetView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2" customWidth="1"/>
    <col min="2" max="2" width="44" customWidth="1"/>
    <col min="3" max="3" width="12" customWidth="1"/>
    <col min="4" max="4" width="13" customWidth="1"/>
    <col min="5" max="17" width="12.46484375" customWidth="1"/>
  </cols>
  <sheetData>
    <row r="1" spans="2:17" ht="18" x14ac:dyDescent="0.55000000000000004">
      <c r="B1" s="7" t="s">
        <v>551</v>
      </c>
    </row>
    <row r="2" spans="2:17" x14ac:dyDescent="0.45">
      <c r="B2" s="8" t="s">
        <v>552</v>
      </c>
    </row>
    <row r="3" spans="2:17" x14ac:dyDescent="0.45">
      <c r="B3" s="9" t="s">
        <v>237</v>
      </c>
      <c r="C3" s="9"/>
      <c r="D3" s="9"/>
      <c r="E3" s="41" t="s">
        <v>289</v>
      </c>
      <c r="F3" s="41" t="s">
        <v>290</v>
      </c>
      <c r="G3" s="41" t="s">
        <v>291</v>
      </c>
      <c r="H3" s="41" t="s">
        <v>292</v>
      </c>
      <c r="I3" s="41" t="s">
        <v>293</v>
      </c>
      <c r="J3" s="41" t="s">
        <v>294</v>
      </c>
      <c r="K3" s="41" t="s">
        <v>295</v>
      </c>
      <c r="L3" s="41" t="s">
        <v>296</v>
      </c>
      <c r="M3" s="41" t="s">
        <v>297</v>
      </c>
      <c r="N3" s="41" t="s">
        <v>298</v>
      </c>
      <c r="O3" s="41" t="s">
        <v>299</v>
      </c>
      <c r="P3" s="41" t="s">
        <v>300</v>
      </c>
      <c r="Q3" s="41" t="s">
        <v>439</v>
      </c>
    </row>
    <row r="4" spans="2:17" x14ac:dyDescent="0.45">
      <c r="E4" s="42">
        <v>1</v>
      </c>
      <c r="F4" s="42">
        <v>2</v>
      </c>
      <c r="G4" s="42">
        <v>3</v>
      </c>
      <c r="H4" s="42">
        <v>4</v>
      </c>
      <c r="I4" s="42">
        <v>5</v>
      </c>
      <c r="J4" s="42">
        <v>6</v>
      </c>
      <c r="K4" s="42">
        <v>7</v>
      </c>
      <c r="L4" s="42">
        <v>8</v>
      </c>
      <c r="M4" s="42">
        <v>9</v>
      </c>
      <c r="N4" s="42">
        <v>10</v>
      </c>
      <c r="O4" s="42">
        <v>11</v>
      </c>
      <c r="P4" s="42">
        <v>12</v>
      </c>
    </row>
    <row r="6" spans="2:17" x14ac:dyDescent="0.45">
      <c r="B6" s="4" t="s">
        <v>364</v>
      </c>
      <c r="E6" s="13">
        <f>ARR!E14</f>
        <v>8258541.666666667</v>
      </c>
      <c r="F6" s="13">
        <f>ARR!F14</f>
        <v>8442375.520833334</v>
      </c>
      <c r="G6" s="13">
        <f>ARR!G14</f>
        <v>8626852.4503761586</v>
      </c>
      <c r="H6" s="13">
        <f>ARR!H14</f>
        <v>8812913.3106417581</v>
      </c>
      <c r="I6" s="13">
        <f>ARR!I14</f>
        <v>9001803.4424353745</v>
      </c>
      <c r="J6" s="13">
        <f>ARR!J14</f>
        <v>9194749.7432693262</v>
      </c>
      <c r="K6" s="13">
        <f>ARR!K14</f>
        <v>9398890.573847359</v>
      </c>
      <c r="L6" s="13">
        <f>ARR!L14</f>
        <v>9614366.4229209367</v>
      </c>
      <c r="M6" s="13">
        <f>ARR!M14</f>
        <v>9834625.8953662589</v>
      </c>
      <c r="N6" s="13">
        <f>ARR!N14</f>
        <v>10059671.325871179</v>
      </c>
      <c r="O6" s="13">
        <f>ARR!O14</f>
        <v>10289209.880411632</v>
      </c>
      <c r="P6" s="13">
        <f>ARR!P14</f>
        <v>10522630.627138818</v>
      </c>
      <c r="Q6" s="13">
        <f t="shared" ref="Q6:Q17" si="0">SUM(E6:P6)</f>
        <v>112056630.85977882</v>
      </c>
    </row>
    <row r="7" spans="2:17" x14ac:dyDescent="0.45">
      <c r="B7" t="s">
        <v>553</v>
      </c>
      <c r="E7" s="11">
        <f>Opex!E47</f>
        <v>1836377.3302516958</v>
      </c>
      <c r="F7" s="11">
        <f>Opex!F47</f>
        <v>1870434.6661243902</v>
      </c>
      <c r="G7" s="11">
        <f>Opex!G47</f>
        <v>1902455.9783530061</v>
      </c>
      <c r="H7" s="11">
        <f>Opex!H47</f>
        <v>1944117.4559379141</v>
      </c>
      <c r="I7" s="11">
        <f>Opex!I47</f>
        <v>1980045.8838671152</v>
      </c>
      <c r="J7" s="11">
        <f>Opex!J47</f>
        <v>2015867.9051611763</v>
      </c>
      <c r="K7" s="11">
        <f>Opex!K47</f>
        <v>2050233.0402332305</v>
      </c>
      <c r="L7" s="11">
        <f>Opex!L47</f>
        <v>2070124.9534023874</v>
      </c>
      <c r="M7" s="11">
        <f>Opex!M47</f>
        <v>2109500.2058900753</v>
      </c>
      <c r="N7" s="11">
        <f>Opex!N47</f>
        <v>2148850.5281033157</v>
      </c>
      <c r="O7" s="11">
        <f>Opex!O47</f>
        <v>2170906.582245823</v>
      </c>
      <c r="P7" s="11">
        <f>Opex!P47</f>
        <v>2196272.0469893189</v>
      </c>
      <c r="Q7" s="13">
        <f t="shared" si="0"/>
        <v>24295186.576559443</v>
      </c>
    </row>
    <row r="8" spans="2:17" x14ac:dyDescent="0.45">
      <c r="B8" s="4" t="s">
        <v>554</v>
      </c>
      <c r="E8" s="13">
        <f t="shared" ref="E8:P8" si="1">E6-E7</f>
        <v>6422164.3364149714</v>
      </c>
      <c r="F8" s="13">
        <f t="shared" si="1"/>
        <v>6571940.8547089435</v>
      </c>
      <c r="G8" s="13">
        <f t="shared" si="1"/>
        <v>6724396.4720231527</v>
      </c>
      <c r="H8" s="13">
        <f t="shared" si="1"/>
        <v>6868795.8547038436</v>
      </c>
      <c r="I8" s="13">
        <f t="shared" si="1"/>
        <v>7021757.5585682597</v>
      </c>
      <c r="J8" s="13">
        <f t="shared" si="1"/>
        <v>7178881.8381081503</v>
      </c>
      <c r="K8" s="13">
        <f t="shared" si="1"/>
        <v>7348657.5336141288</v>
      </c>
      <c r="L8" s="13">
        <f t="shared" si="1"/>
        <v>7544241.4695185497</v>
      </c>
      <c r="M8" s="13">
        <f t="shared" si="1"/>
        <v>7725125.6894761836</v>
      </c>
      <c r="N8" s="13">
        <f t="shared" si="1"/>
        <v>7910820.7977678627</v>
      </c>
      <c r="O8" s="13">
        <f t="shared" si="1"/>
        <v>8118303.2981658094</v>
      </c>
      <c r="P8" s="13">
        <f t="shared" si="1"/>
        <v>8326358.5801494988</v>
      </c>
      <c r="Q8" s="13">
        <f t="shared" si="0"/>
        <v>87761444.283219352</v>
      </c>
    </row>
    <row r="9" spans="2:17" x14ac:dyDescent="0.45">
      <c r="B9" t="s">
        <v>480</v>
      </c>
      <c r="E9" s="11">
        <f>Opex!E14</f>
        <v>2557765.5509036533</v>
      </c>
      <c r="F9" s="11">
        <f>Opex!F14</f>
        <v>2668732.3773115724</v>
      </c>
      <c r="G9" s="11">
        <f>Opex!G14</f>
        <v>2742436.1299724909</v>
      </c>
      <c r="H9" s="11">
        <f>Opex!H14</f>
        <v>2866927.8581700665</v>
      </c>
      <c r="I9" s="11">
        <f>Opex!I14</f>
        <v>2919442.6221980327</v>
      </c>
      <c r="J9" s="11">
        <f>Opex!J14</f>
        <v>2972670.4398489799</v>
      </c>
      <c r="K9" s="11">
        <f>Opex!K14</f>
        <v>3059972.5670004403</v>
      </c>
      <c r="L9" s="11">
        <f>Opex!L14</f>
        <v>3110223.5328806425</v>
      </c>
      <c r="M9" s="11">
        <f>Opex!M14</f>
        <v>3130506.4332460207</v>
      </c>
      <c r="N9" s="11">
        <f>Opex!N14</f>
        <v>3153796.1533051031</v>
      </c>
      <c r="O9" s="11">
        <f>Opex!O14</f>
        <v>3178315.8263415834</v>
      </c>
      <c r="P9" s="11">
        <f>Opex!P14</f>
        <v>3174851.4731500237</v>
      </c>
      <c r="Q9" s="13">
        <f t="shared" si="0"/>
        <v>35535640.964328609</v>
      </c>
    </row>
    <row r="10" spans="2:17" x14ac:dyDescent="0.45">
      <c r="B10" t="s">
        <v>482</v>
      </c>
      <c r="E10" s="11">
        <f>Opex!E25</f>
        <v>1745772.0167548491</v>
      </c>
      <c r="F10" s="11">
        <f>Opex!F25</f>
        <v>1762222.6371009552</v>
      </c>
      <c r="G10" s="11">
        <f>Opex!G25</f>
        <v>1812154.298136835</v>
      </c>
      <c r="H10" s="11">
        <f>Opex!H25</f>
        <v>1920752.8287468737</v>
      </c>
      <c r="I10" s="11">
        <f>Opex!I25</f>
        <v>1941771.927326947</v>
      </c>
      <c r="J10" s="11">
        <f>Opex!J25</f>
        <v>1969331.4454491825</v>
      </c>
      <c r="K10" s="11">
        <f>Opex!K25</f>
        <v>2015505.3042383322</v>
      </c>
      <c r="L10" s="11">
        <f>Opex!L25</f>
        <v>2041018.5880635469</v>
      </c>
      <c r="M10" s="11">
        <f>Opex!M25</f>
        <v>2096748.2161707897</v>
      </c>
      <c r="N10" s="11">
        <f>Opex!N25</f>
        <v>2139842.6063208706</v>
      </c>
      <c r="O10" s="11">
        <f>Opex!O25</f>
        <v>2137322.6523600132</v>
      </c>
      <c r="P10" s="11">
        <f>Opex!P25</f>
        <v>2139952.8042770848</v>
      </c>
      <c r="Q10" s="13">
        <f t="shared" si="0"/>
        <v>23722395.324946281</v>
      </c>
    </row>
    <row r="11" spans="2:17" x14ac:dyDescent="0.45">
      <c r="B11" t="s">
        <v>483</v>
      </c>
      <c r="E11" s="11">
        <f>Opex!E36</f>
        <v>1362243.5200324105</v>
      </c>
      <c r="F11" s="11">
        <f>Opex!F36</f>
        <v>1384828.9779804063</v>
      </c>
      <c r="G11" s="11">
        <f>Opex!G36</f>
        <v>1381292.7506260402</v>
      </c>
      <c r="H11" s="11">
        <f>Opex!H36</f>
        <v>1419287.5674304601</v>
      </c>
      <c r="I11" s="11">
        <f>Opex!I36</f>
        <v>1415843.8910071766</v>
      </c>
      <c r="J11" s="11">
        <f>Opex!J36</f>
        <v>1415478.9338594663</v>
      </c>
      <c r="K11" s="11">
        <f>Opex!K36</f>
        <v>1435347.617446526</v>
      </c>
      <c r="L11" s="11">
        <f>Opex!L36</f>
        <v>1458757.039699395</v>
      </c>
      <c r="M11" s="11">
        <f>Opex!M36</f>
        <v>1455357.5313871128</v>
      </c>
      <c r="N11" s="11">
        <f>Opex!N36</f>
        <v>1454688.0556140223</v>
      </c>
      <c r="O11" s="11">
        <f>Opex!O36</f>
        <v>1454410.2292321406</v>
      </c>
      <c r="P11" s="11">
        <f>Opex!P36</f>
        <v>1454460.2355201303</v>
      </c>
      <c r="Q11" s="13">
        <f t="shared" si="0"/>
        <v>17091996.349835288</v>
      </c>
    </row>
    <row r="12" spans="2:17" x14ac:dyDescent="0.45">
      <c r="B12" t="s">
        <v>555</v>
      </c>
      <c r="E12" s="11">
        <f t="shared" ref="E12:P12" si="2">E10+E11</f>
        <v>3108015.5367872594</v>
      </c>
      <c r="F12" s="11">
        <f t="shared" si="2"/>
        <v>3147051.6150813615</v>
      </c>
      <c r="G12" s="11">
        <f t="shared" si="2"/>
        <v>3193447.0487628751</v>
      </c>
      <c r="H12" s="11">
        <f t="shared" si="2"/>
        <v>3340040.3961773338</v>
      </c>
      <c r="I12" s="11">
        <f t="shared" si="2"/>
        <v>3357615.8183341236</v>
      </c>
      <c r="J12" s="11">
        <f t="shared" si="2"/>
        <v>3384810.3793086489</v>
      </c>
      <c r="K12" s="11">
        <f t="shared" si="2"/>
        <v>3450852.9216848584</v>
      </c>
      <c r="L12" s="11">
        <f t="shared" si="2"/>
        <v>3499775.6277629416</v>
      </c>
      <c r="M12" s="11">
        <f t="shared" si="2"/>
        <v>3552105.7475579027</v>
      </c>
      <c r="N12" s="11">
        <f t="shared" si="2"/>
        <v>3594530.6619348926</v>
      </c>
      <c r="O12" s="11">
        <f t="shared" si="2"/>
        <v>3591732.8815921536</v>
      </c>
      <c r="P12" s="11">
        <f t="shared" si="2"/>
        <v>3594413.0397972148</v>
      </c>
      <c r="Q12" s="13">
        <f t="shared" si="0"/>
        <v>40814391.674781561</v>
      </c>
    </row>
    <row r="13" spans="2:17" x14ac:dyDescent="0.45">
      <c r="B13" t="s">
        <v>485</v>
      </c>
      <c r="E13" s="11">
        <f>Opex!E59</f>
        <v>1419354.7580398307</v>
      </c>
      <c r="F13" s="11">
        <f>Opex!F59</f>
        <v>1422965.263199361</v>
      </c>
      <c r="G13" s="11">
        <f>Opex!G59</f>
        <v>1389228.9430447386</v>
      </c>
      <c r="H13" s="11">
        <f>Opex!H59</f>
        <v>1448775.1737576446</v>
      </c>
      <c r="I13" s="11">
        <f>Opex!I59</f>
        <v>1401814.9426129633</v>
      </c>
      <c r="J13" s="11">
        <f>Opex!J59</f>
        <v>1402720.186593476</v>
      </c>
      <c r="K13" s="11">
        <f>Opex!K59</f>
        <v>1485761.4795856334</v>
      </c>
      <c r="L13" s="11">
        <f>Opex!L59</f>
        <v>1457155.6750908792</v>
      </c>
      <c r="M13" s="11">
        <f>Opex!M59</f>
        <v>1439265.9185876586</v>
      </c>
      <c r="N13" s="11">
        <f>Opex!N59</f>
        <v>1439211.8844472265</v>
      </c>
      <c r="O13" s="11">
        <f>Opex!O59</f>
        <v>1395371.1849718639</v>
      </c>
      <c r="P13" s="11">
        <f>Opex!P59</f>
        <v>1381265.8755150363</v>
      </c>
      <c r="Q13" s="13">
        <f t="shared" si="0"/>
        <v>17082891.285446309</v>
      </c>
    </row>
    <row r="14" spans="2:17" x14ac:dyDescent="0.45">
      <c r="B14" s="4" t="s">
        <v>556</v>
      </c>
      <c r="E14" s="13">
        <f t="shared" ref="E14:P14" si="3">E9+E12+E13</f>
        <v>7085135.8457307424</v>
      </c>
      <c r="F14" s="13">
        <f t="shared" si="3"/>
        <v>7238749.255592295</v>
      </c>
      <c r="G14" s="13">
        <f t="shared" si="3"/>
        <v>7325112.1217801049</v>
      </c>
      <c r="H14" s="13">
        <f t="shared" si="3"/>
        <v>7655743.4281050451</v>
      </c>
      <c r="I14" s="13">
        <f t="shared" si="3"/>
        <v>7678873.38314512</v>
      </c>
      <c r="J14" s="13">
        <f t="shared" si="3"/>
        <v>7760201.0057511041</v>
      </c>
      <c r="K14" s="13">
        <f t="shared" si="3"/>
        <v>7996586.9682709323</v>
      </c>
      <c r="L14" s="13">
        <f t="shared" si="3"/>
        <v>8067154.8357344633</v>
      </c>
      <c r="M14" s="13">
        <f t="shared" si="3"/>
        <v>8121878.0993915815</v>
      </c>
      <c r="N14" s="13">
        <f t="shared" si="3"/>
        <v>8187538.699687222</v>
      </c>
      <c r="O14" s="13">
        <f t="shared" si="3"/>
        <v>8165419.8929056004</v>
      </c>
      <c r="P14" s="13">
        <f t="shared" si="3"/>
        <v>8150530.3884622753</v>
      </c>
      <c r="Q14" s="13">
        <f t="shared" si="0"/>
        <v>93432923.924556494</v>
      </c>
    </row>
    <row r="15" spans="2:17" x14ac:dyDescent="0.45">
      <c r="B15" s="4" t="s">
        <v>363</v>
      </c>
      <c r="E15" s="13">
        <f t="shared" ref="E15:P15" si="4">E8-E14</f>
        <v>-662971.50931577105</v>
      </c>
      <c r="F15" s="13">
        <f t="shared" si="4"/>
        <v>-666808.40088335145</v>
      </c>
      <c r="G15" s="13">
        <f t="shared" si="4"/>
        <v>-600715.64975695219</v>
      </c>
      <c r="H15" s="13">
        <f t="shared" si="4"/>
        <v>-786947.57340120152</v>
      </c>
      <c r="I15" s="13">
        <f t="shared" si="4"/>
        <v>-657115.82457686029</v>
      </c>
      <c r="J15" s="13">
        <f t="shared" si="4"/>
        <v>-581319.16764295381</v>
      </c>
      <c r="K15" s="13">
        <f t="shared" si="4"/>
        <v>-647929.4346568035</v>
      </c>
      <c r="L15" s="13">
        <f t="shared" si="4"/>
        <v>-522913.36621591356</v>
      </c>
      <c r="M15" s="13">
        <f t="shared" si="4"/>
        <v>-396752.40991539788</v>
      </c>
      <c r="N15" s="13">
        <f t="shared" si="4"/>
        <v>-276717.90191935934</v>
      </c>
      <c r="O15" s="13">
        <f t="shared" si="4"/>
        <v>-47116.594739791006</v>
      </c>
      <c r="P15" s="13">
        <f t="shared" si="4"/>
        <v>175828.1916872235</v>
      </c>
      <c r="Q15" s="13">
        <f t="shared" si="0"/>
        <v>-5671479.6413371321</v>
      </c>
    </row>
    <row r="16" spans="2:17" x14ac:dyDescent="0.45">
      <c r="B16" t="s">
        <v>557</v>
      </c>
      <c r="E16" s="11">
        <f>Opex!E9+Opex!E19+Opex!E30+Opex!E41+Opex!E52</f>
        <v>853712.99545978464</v>
      </c>
      <c r="F16" s="11">
        <f>Opex!F9+Opex!F19+Opex!F30+Opex!F41+Opex!F52</f>
        <v>878507.65414176148</v>
      </c>
      <c r="G16" s="11">
        <f>Opex!G9+Opex!G19+Opex!G30+Opex!G41+Opex!G52</f>
        <v>896143.98856063979</v>
      </c>
      <c r="H16" s="11">
        <f>Opex!H9+Opex!H19+Opex!H30+Opex!H41+Opex!H52</f>
        <v>940986.04499998281</v>
      </c>
      <c r="I16" s="11">
        <f>Opex!I9+Opex!I19+Opex!I30+Opex!I41+Opex!I52</f>
        <v>952486.436562852</v>
      </c>
      <c r="J16" s="11">
        <f>Opex!J9+Opex!J19+Opex!J30+Opex!J41+Opex!J52</f>
        <v>964377.68652315554</v>
      </c>
      <c r="K16" s="11">
        <f>Opex!K9+Opex!K19+Opex!K30+Opex!K41+Opex!K52</f>
        <v>986764.14773870679</v>
      </c>
      <c r="L16" s="11">
        <f>Opex!L9+Opex!L19+Opex!L30+Opex!L41+Opex!L52</f>
        <v>1001949.1271197438</v>
      </c>
      <c r="M16" s="11">
        <f>Opex!M9+Opex!M19+Opex!M30+Opex!M41+Opex!M52</f>
        <v>1012676.5374463049</v>
      </c>
      <c r="N16" s="11">
        <f>Opex!N9+Opex!N19+Opex!N30+Opex!N41+Opex!N52</f>
        <v>1022352.7320653193</v>
      </c>
      <c r="O16" s="11">
        <f>Opex!O9+Opex!O19+Opex!O30+Opex!O41+Opex!O52</f>
        <v>1025412.5564918719</v>
      </c>
      <c r="P16" s="11">
        <f>Opex!P9+Opex!P19+Opex!P30+Opex!P41+Opex!P52</f>
        <v>1025177.9823663284</v>
      </c>
      <c r="Q16" s="13">
        <f t="shared" si="0"/>
        <v>11560547.889476454</v>
      </c>
    </row>
    <row r="17" spans="2:17" x14ac:dyDescent="0.45">
      <c r="B17" s="4" t="s">
        <v>558</v>
      </c>
      <c r="E17" s="13">
        <f t="shared" ref="E17:P17" si="5">E15+E16</f>
        <v>190741.48614401359</v>
      </c>
      <c r="F17" s="13">
        <f t="shared" si="5"/>
        <v>211699.25325841003</v>
      </c>
      <c r="G17" s="13">
        <f t="shared" si="5"/>
        <v>295428.3388036876</v>
      </c>
      <c r="H17" s="13">
        <f t="shared" si="5"/>
        <v>154038.4715987813</v>
      </c>
      <c r="I17" s="13">
        <f t="shared" si="5"/>
        <v>295370.61198599171</v>
      </c>
      <c r="J17" s="13">
        <f t="shared" si="5"/>
        <v>383058.51888020174</v>
      </c>
      <c r="K17" s="13">
        <f t="shared" si="5"/>
        <v>338834.71308190329</v>
      </c>
      <c r="L17" s="13">
        <f t="shared" si="5"/>
        <v>479035.76090383029</v>
      </c>
      <c r="M17" s="13">
        <f t="shared" si="5"/>
        <v>615924.12753090705</v>
      </c>
      <c r="N17" s="13">
        <f t="shared" si="5"/>
        <v>745634.83014595998</v>
      </c>
      <c r="O17" s="13">
        <f t="shared" si="5"/>
        <v>978295.96175208094</v>
      </c>
      <c r="P17" s="13">
        <f t="shared" si="5"/>
        <v>1201006.1740535519</v>
      </c>
      <c r="Q17" s="13">
        <f t="shared" si="0"/>
        <v>5889068.248139319</v>
      </c>
    </row>
    <row r="19" spans="2:17" x14ac:dyDescent="0.45">
      <c r="B19" s="4" t="s">
        <v>231</v>
      </c>
    </row>
    <row r="20" spans="2:17" x14ac:dyDescent="0.45">
      <c r="B20" t="s">
        <v>118</v>
      </c>
      <c r="E20" s="12">
        <f t="shared" ref="E20:Q20" si="6">E8/E6</f>
        <v>0.77763903067006035</v>
      </c>
      <c r="F20" s="12">
        <f t="shared" si="6"/>
        <v>0.77844687653271283</v>
      </c>
      <c r="G20" s="12">
        <f t="shared" si="6"/>
        <v>0.7794727579616767</v>
      </c>
      <c r="H20" s="12">
        <f t="shared" si="6"/>
        <v>0.77940127317599317</v>
      </c>
      <c r="I20" s="12">
        <f t="shared" si="6"/>
        <v>0.78003897813042811</v>
      </c>
      <c r="J20" s="12">
        <f t="shared" si="6"/>
        <v>0.78075880677048148</v>
      </c>
      <c r="K20" s="12">
        <f t="shared" si="6"/>
        <v>0.78186435684887601</v>
      </c>
      <c r="L20" s="12">
        <f t="shared" si="6"/>
        <v>0.7846842046224547</v>
      </c>
      <c r="M20" s="12">
        <f t="shared" si="6"/>
        <v>0.78550275035027006</v>
      </c>
      <c r="N20" s="12">
        <f t="shared" si="6"/>
        <v>0.78638958883507826</v>
      </c>
      <c r="O20" s="12">
        <f t="shared" si="6"/>
        <v>0.78901134222378466</v>
      </c>
      <c r="P20" s="12">
        <f t="shared" si="6"/>
        <v>0.79128108504303718</v>
      </c>
      <c r="Q20" s="12">
        <f t="shared" si="6"/>
        <v>0.78318831835162828</v>
      </c>
    </row>
    <row r="21" spans="2:17" x14ac:dyDescent="0.45">
      <c r="B21" t="s">
        <v>480</v>
      </c>
      <c r="E21" s="12">
        <f t="shared" ref="E21:Q21" si="7">E9/E6</f>
        <v>0.30971152706383631</v>
      </c>
      <c r="F21" s="12">
        <f t="shared" si="7"/>
        <v>0.31611154594176899</v>
      </c>
      <c r="G21" s="12">
        <f t="shared" si="7"/>
        <v>0.317895332712328</v>
      </c>
      <c r="H21" s="12">
        <f t="shared" si="7"/>
        <v>0.32530988983043752</v>
      </c>
      <c r="I21" s="12">
        <f t="shared" si="7"/>
        <v>0.32431752602322966</v>
      </c>
      <c r="J21" s="12">
        <f t="shared" si="7"/>
        <v>0.32330085351425825</v>
      </c>
      <c r="K21" s="12">
        <f t="shared" si="7"/>
        <v>0.32556742127787808</v>
      </c>
      <c r="L21" s="12">
        <f t="shared" si="7"/>
        <v>0.32349750322244603</v>
      </c>
      <c r="M21" s="12">
        <f t="shared" si="7"/>
        <v>0.31831474491785283</v>
      </c>
      <c r="N21" s="12">
        <f t="shared" si="7"/>
        <v>0.3135088663577168</v>
      </c>
      <c r="O21" s="12">
        <f t="shared" si="7"/>
        <v>0.30889794875235171</v>
      </c>
      <c r="P21" s="12">
        <f t="shared" si="7"/>
        <v>0.30171651801231092</v>
      </c>
      <c r="Q21" s="12">
        <f t="shared" si="7"/>
        <v>0.31712216128285931</v>
      </c>
    </row>
    <row r="22" spans="2:17" x14ac:dyDescent="0.45">
      <c r="B22" t="s">
        <v>555</v>
      </c>
      <c r="E22" s="12">
        <f t="shared" ref="E22:Q22" si="8">E12/E6</f>
        <v>0.37633951153045697</v>
      </c>
      <c r="F22" s="12">
        <f t="shared" si="8"/>
        <v>0.37276849475782625</v>
      </c>
      <c r="G22" s="12">
        <f t="shared" si="8"/>
        <v>0.37017522522059948</v>
      </c>
      <c r="H22" s="12">
        <f t="shared" si="8"/>
        <v>0.3789939011591289</v>
      </c>
      <c r="I22" s="12">
        <f t="shared" si="8"/>
        <v>0.3729936828553706</v>
      </c>
      <c r="J22" s="12">
        <f t="shared" si="8"/>
        <v>0.36812425284183214</v>
      </c>
      <c r="K22" s="12">
        <f t="shared" si="8"/>
        <v>0.36715534610935258</v>
      </c>
      <c r="L22" s="12">
        <f t="shared" si="8"/>
        <v>0.36401521159203709</v>
      </c>
      <c r="M22" s="12">
        <f t="shared" si="8"/>
        <v>0.36118361647406783</v>
      </c>
      <c r="N22" s="12">
        <f t="shared" si="8"/>
        <v>0.35732088509597526</v>
      </c>
      <c r="O22" s="12">
        <f t="shared" si="8"/>
        <v>0.34907761852832009</v>
      </c>
      <c r="P22" s="12">
        <f t="shared" si="8"/>
        <v>0.34158882575683097</v>
      </c>
      <c r="Q22" s="12">
        <f t="shared" si="8"/>
        <v>0.36423004476954451</v>
      </c>
    </row>
    <row r="23" spans="2:17" x14ac:dyDescent="0.45">
      <c r="B23" t="s">
        <v>485</v>
      </c>
      <c r="E23" s="12">
        <f t="shared" ref="E23:Q23" si="9">E13/E6</f>
        <v>0.17186505987717735</v>
      </c>
      <c r="F23" s="12">
        <f t="shared" si="9"/>
        <v>0.16855033985255638</v>
      </c>
      <c r="G23" s="12">
        <f t="shared" si="9"/>
        <v>0.16103543569754269</v>
      </c>
      <c r="H23" s="12">
        <f t="shared" si="9"/>
        <v>0.16439230963593179</v>
      </c>
      <c r="I23" s="12">
        <f t="shared" si="9"/>
        <v>0.15572601107958786</v>
      </c>
      <c r="J23" s="12">
        <f t="shared" si="9"/>
        <v>0.15255664653845363</v>
      </c>
      <c r="K23" s="12">
        <f t="shared" si="9"/>
        <v>0.1580783889238801</v>
      </c>
      <c r="L23" s="12">
        <f t="shared" si="9"/>
        <v>0.15156023922876255</v>
      </c>
      <c r="M23" s="12">
        <f t="shared" si="9"/>
        <v>0.14634678877473029</v>
      </c>
      <c r="N23" s="12">
        <f t="shared" si="9"/>
        <v>0.14306748578811934</v>
      </c>
      <c r="O23" s="12">
        <f t="shared" si="9"/>
        <v>0.13561499874041255</v>
      </c>
      <c r="P23" s="12">
        <f t="shared" si="9"/>
        <v>0.13126621321788359</v>
      </c>
      <c r="Q23" s="12">
        <f t="shared" si="9"/>
        <v>0.15244873198822878</v>
      </c>
    </row>
    <row r="24" spans="2:17" x14ac:dyDescent="0.45">
      <c r="B24" t="s">
        <v>123</v>
      </c>
      <c r="E24" s="12">
        <f t="shared" ref="E24:Q24" si="10">E15/E6</f>
        <v>-8.0277067801410182E-2</v>
      </c>
      <c r="F24" s="12">
        <f t="shared" si="10"/>
        <v>-7.8983504019438808E-2</v>
      </c>
      <c r="G24" s="12">
        <f t="shared" si="10"/>
        <v>-6.963323566879355E-2</v>
      </c>
      <c r="H24" s="12">
        <f t="shared" si="10"/>
        <v>-8.9294827449504982E-2</v>
      </c>
      <c r="I24" s="12">
        <f t="shared" si="10"/>
        <v>-7.2998241827760046E-2</v>
      </c>
      <c r="J24" s="12">
        <f t="shared" si="10"/>
        <v>-6.3222946124062471E-2</v>
      </c>
      <c r="K24" s="12">
        <f t="shared" si="10"/>
        <v>-6.8936799462234716E-2</v>
      </c>
      <c r="L24" s="12">
        <f t="shared" si="10"/>
        <v>-5.4388749420790999E-2</v>
      </c>
      <c r="M24" s="12">
        <f t="shared" si="10"/>
        <v>-4.0342399816380825E-2</v>
      </c>
      <c r="N24" s="12">
        <f t="shared" si="10"/>
        <v>-2.7507648406733136E-2</v>
      </c>
      <c r="O24" s="12">
        <f t="shared" si="10"/>
        <v>-4.5792237972995887E-3</v>
      </c>
      <c r="P24" s="12">
        <f t="shared" si="10"/>
        <v>1.6709528056011648E-2</v>
      </c>
      <c r="Q24" s="12">
        <f t="shared" si="10"/>
        <v>-5.061261968900433E-2</v>
      </c>
    </row>
    <row r="25" spans="2:17" x14ac:dyDescent="0.45">
      <c r="B25" t="s">
        <v>529</v>
      </c>
      <c r="E25" s="12">
        <f t="shared" ref="E25:Q25" si="11">E16/E6</f>
        <v>0.10337333513803805</v>
      </c>
      <c r="F25" s="12">
        <f t="shared" si="11"/>
        <v>0.10405929610378731</v>
      </c>
      <c r="G25" s="12">
        <f t="shared" si="11"/>
        <v>0.1038784416118726</v>
      </c>
      <c r="H25" s="12">
        <f t="shared" si="11"/>
        <v>0.1067735505651377</v>
      </c>
      <c r="I25" s="12">
        <f t="shared" si="11"/>
        <v>0.10581062368821992</v>
      </c>
      <c r="J25" s="12">
        <f t="shared" si="11"/>
        <v>0.10488351651213697</v>
      </c>
      <c r="K25" s="12">
        <f t="shared" si="11"/>
        <v>0.10498730036121517</v>
      </c>
      <c r="L25" s="12">
        <f t="shared" si="11"/>
        <v>0.1042137446239897</v>
      </c>
      <c r="M25" s="12">
        <f t="shared" si="11"/>
        <v>0.10297051949108137</v>
      </c>
      <c r="N25" s="12">
        <f t="shared" si="11"/>
        <v>0.10162884044094576</v>
      </c>
      <c r="O25" s="12">
        <f t="shared" si="11"/>
        <v>9.9659018370694283E-2</v>
      </c>
      <c r="P25" s="12">
        <f t="shared" si="11"/>
        <v>9.7426016239922128E-2</v>
      </c>
      <c r="Q25" s="12">
        <f t="shared" si="11"/>
        <v>0.10316701297170583</v>
      </c>
    </row>
    <row r="27" spans="2:17" x14ac:dyDescent="0.45">
      <c r="B27" s="4" t="s">
        <v>559</v>
      </c>
    </row>
    <row r="28" spans="2:17" x14ac:dyDescent="0.45">
      <c r="B28" t="s">
        <v>481</v>
      </c>
      <c r="E28" s="36">
        <f>Headcount!E189</f>
        <v>309</v>
      </c>
      <c r="F28" s="36">
        <f>Headcount!F189</f>
        <v>316.89500000000004</v>
      </c>
      <c r="G28" s="36">
        <f>Headcount!G189</f>
        <v>322.69789166666669</v>
      </c>
      <c r="H28" s="36">
        <f>Headcount!H189</f>
        <v>329.43308293055554</v>
      </c>
      <c r="I28" s="36">
        <f>Headcount!I189</f>
        <v>333.19469696303247</v>
      </c>
      <c r="J28" s="36">
        <f>Headcount!J189</f>
        <v>337.004533831797</v>
      </c>
      <c r="K28" s="36">
        <f>Headcount!K189</f>
        <v>344.83762300653723</v>
      </c>
      <c r="L28" s="36">
        <f>Headcount!L189</f>
        <v>349.65790337231743</v>
      </c>
      <c r="M28" s="36">
        <f>Headcount!M189</f>
        <v>353.46583263087575</v>
      </c>
      <c r="N28" s="36">
        <f>Headcount!N189</f>
        <v>357.27378414488646</v>
      </c>
      <c r="O28" s="36">
        <f>Headcount!O189</f>
        <v>358.12869559827243</v>
      </c>
      <c r="P28" s="36">
        <f>Headcount!P189</f>
        <v>358.0298696889696</v>
      </c>
      <c r="Q28" s="44">
        <f>P28</f>
        <v>358.0298696889696</v>
      </c>
    </row>
    <row r="29" spans="2:17" x14ac:dyDescent="0.45">
      <c r="B29" t="s">
        <v>475</v>
      </c>
      <c r="E29" s="36">
        <f>Headcount!E190</f>
        <v>312.5</v>
      </c>
      <c r="F29" s="36">
        <f>Headcount!F190</f>
        <v>320.5</v>
      </c>
      <c r="G29" s="36">
        <f>Headcount!G190</f>
        <v>326.39499999999992</v>
      </c>
      <c r="H29" s="36">
        <f>Headcount!H190</f>
        <v>333.19789166666664</v>
      </c>
      <c r="I29" s="36">
        <f>Headcount!I190</f>
        <v>337.03808293055556</v>
      </c>
      <c r="J29" s="36">
        <f>Headcount!J190</f>
        <v>340.8918052963657</v>
      </c>
      <c r="K29" s="36">
        <f>Headcount!K190</f>
        <v>348.76934256790815</v>
      </c>
      <c r="L29" s="36">
        <f>Headcount!L190</f>
        <v>353.68100897406032</v>
      </c>
      <c r="M29" s="36">
        <f>Headcount!M190</f>
        <v>357.54517483688608</v>
      </c>
      <c r="N29" s="36">
        <f>Headcount!N190</f>
        <v>361.39755219224668</v>
      </c>
      <c r="O29" s="36">
        <f>Headcount!O190</f>
        <v>362.29688974662946</v>
      </c>
      <c r="P29" s="36">
        <f>Headcount!P190</f>
        <v>362.20803780428275</v>
      </c>
      <c r="Q29" s="44">
        <f>AVERAGE(E29:P29)</f>
        <v>343.0350655013001</v>
      </c>
    </row>
    <row r="30" spans="2:17" x14ac:dyDescent="0.45">
      <c r="B30" t="s">
        <v>560</v>
      </c>
      <c r="Q30" s="11">
        <f>Q6/Q29</f>
        <v>326662.32152104616</v>
      </c>
    </row>
    <row r="31" spans="2:17" x14ac:dyDescent="0.45">
      <c r="B31" t="s">
        <v>561</v>
      </c>
      <c r="Q31" s="11">
        <f>Opex!Q7+Opex!Q8+Opex!Q9+Opex!Q17+Opex!Q18+Opex!Q19+Opex!Q28+Opex!Q29+Opex!Q30+Opex!Q39+Opex!Q40+Opex!Q41+Opex!Q50+Opex!Q51+Opex!Q52</f>
        <v>83645070.866541877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J14"/>
  <sheetViews>
    <sheetView workbookViewId="0"/>
  </sheetViews>
  <sheetFormatPr defaultRowHeight="14.25" x14ac:dyDescent="0.45"/>
  <cols>
    <col min="1" max="1" width="2" customWidth="1"/>
    <col min="2" max="2" width="44" customWidth="1"/>
    <col min="3" max="3" width="12" customWidth="1"/>
    <col min="4" max="4" width="13" customWidth="1"/>
    <col min="5" max="5" width="20" customWidth="1"/>
    <col min="6" max="6" width="18" customWidth="1"/>
    <col min="7" max="7" width="16" customWidth="1"/>
    <col min="8" max="10" width="20" customWidth="1"/>
    <col min="11" max="17" width="12.46484375" customWidth="1"/>
  </cols>
  <sheetData>
    <row r="1" spans="2:10" ht="18" x14ac:dyDescent="0.55000000000000004">
      <c r="B1" s="7" t="s">
        <v>562</v>
      </c>
    </row>
    <row r="2" spans="2:10" x14ac:dyDescent="0.45">
      <c r="B2" s="8" t="s">
        <v>563</v>
      </c>
    </row>
    <row r="4" spans="2:10" x14ac:dyDescent="0.45">
      <c r="B4" s="9" t="s">
        <v>564</v>
      </c>
      <c r="C4" s="9" t="s">
        <v>565</v>
      </c>
      <c r="D4" s="9" t="s">
        <v>566</v>
      </c>
      <c r="E4" s="9" t="s">
        <v>567</v>
      </c>
      <c r="F4" s="9" t="s">
        <v>568</v>
      </c>
      <c r="G4" s="9" t="s">
        <v>569</v>
      </c>
      <c r="H4" s="9" t="s">
        <v>570</v>
      </c>
      <c r="I4" s="9" t="s">
        <v>571</v>
      </c>
      <c r="J4" s="9" t="s">
        <v>572</v>
      </c>
    </row>
    <row r="5" spans="2:10" x14ac:dyDescent="0.45">
      <c r="B5" t="s">
        <v>118</v>
      </c>
      <c r="C5" s="12">
        <f>PnL!Q20</f>
        <v>0.78318831835162828</v>
      </c>
      <c r="D5" s="21">
        <v>0.72430000000000005</v>
      </c>
      <c r="E5" s="37">
        <f t="shared" ref="E5:E11" si="0">C5-D5</f>
        <v>5.8888318351628222E-2</v>
      </c>
      <c r="F5" t="str">
        <f>IF(C5&gt;=D5,"Meets target","Below target")</f>
        <v>Meets target</v>
      </c>
      <c r="G5" t="s">
        <v>573</v>
      </c>
      <c r="J5" s="12">
        <v>0.74457374842972912</v>
      </c>
    </row>
    <row r="6" spans="2:10" x14ac:dyDescent="0.45">
      <c r="B6" t="s">
        <v>574</v>
      </c>
      <c r="C6" s="12">
        <f>PnL!Q21</f>
        <v>0.31712216128285931</v>
      </c>
      <c r="D6" s="21">
        <v>0.26690000000000003</v>
      </c>
      <c r="E6" s="37">
        <f t="shared" si="0"/>
        <v>5.0222161282859279E-2</v>
      </c>
      <c r="F6" t="str">
        <f>IF(C6&lt;=D6,"Within target","Over target")</f>
        <v>Over target</v>
      </c>
      <c r="G6" t="s">
        <v>575</v>
      </c>
      <c r="H6" s="12">
        <v>0.1459</v>
      </c>
      <c r="I6" s="12">
        <v>0.26529999999999998</v>
      </c>
      <c r="J6" s="12">
        <v>0.22135212338841689</v>
      </c>
    </row>
    <row r="7" spans="2:10" x14ac:dyDescent="0.45">
      <c r="B7" t="s">
        <v>576</v>
      </c>
      <c r="C7" s="12">
        <f>PnL!Q22</f>
        <v>0.36423004476954451</v>
      </c>
      <c r="D7" s="21">
        <v>0.37269999999999998</v>
      </c>
      <c r="E7" s="37">
        <f t="shared" si="0"/>
        <v>-8.4699552304554615E-3</v>
      </c>
      <c r="F7" t="str">
        <f>IF(C7&lt;=D7,"Within target","Over target")</f>
        <v>Within target</v>
      </c>
      <c r="G7" t="s">
        <v>575</v>
      </c>
      <c r="H7" s="12">
        <v>0.2092</v>
      </c>
      <c r="I7" s="12">
        <v>0.4254</v>
      </c>
      <c r="J7" s="12">
        <v>0.3828012929632959</v>
      </c>
    </row>
    <row r="8" spans="2:10" x14ac:dyDescent="0.45">
      <c r="B8" t="s">
        <v>577</v>
      </c>
      <c r="C8" s="12">
        <f>PnL!Q23</f>
        <v>0.15244873198822878</v>
      </c>
      <c r="D8" s="21">
        <v>0.2243</v>
      </c>
      <c r="E8" s="37">
        <f t="shared" si="0"/>
        <v>-7.1851268011771219E-2</v>
      </c>
      <c r="F8" t="str">
        <f>IF(C8&lt;=D8,"Within target","Over target")</f>
        <v>Within target</v>
      </c>
      <c r="G8" t="s">
        <v>575</v>
      </c>
      <c r="H8" s="12">
        <v>0.19470000000000001</v>
      </c>
      <c r="I8" s="12">
        <v>0.2823</v>
      </c>
      <c r="J8" s="12">
        <v>0.2062487564613254</v>
      </c>
    </row>
    <row r="9" spans="2:10" x14ac:dyDescent="0.45">
      <c r="B9" t="s">
        <v>123</v>
      </c>
      <c r="C9" s="12">
        <f>PnL!Q24</f>
        <v>-5.061261968900433E-2</v>
      </c>
      <c r="D9" s="21">
        <v>-4.9700000000000001E-2</v>
      </c>
      <c r="E9" s="37">
        <f t="shared" si="0"/>
        <v>-9.1261968900432922E-4</v>
      </c>
      <c r="F9" t="str">
        <f>IF(C9&gt;=D9,"Meets target","Below target")</f>
        <v>Below target</v>
      </c>
      <c r="G9" t="s">
        <v>573</v>
      </c>
      <c r="J9" s="12">
        <v>-7.1169633926972287E-2</v>
      </c>
    </row>
    <row r="10" spans="2:10" x14ac:dyDescent="0.45">
      <c r="B10" t="s">
        <v>578</v>
      </c>
      <c r="C10" s="12">
        <f>PnL!Q25</f>
        <v>0.10316701297170583</v>
      </c>
      <c r="D10" s="21">
        <v>0.11849999999999999</v>
      </c>
      <c r="E10" s="37">
        <f t="shared" si="0"/>
        <v>-1.5332987028294165E-2</v>
      </c>
      <c r="F10" t="s">
        <v>579</v>
      </c>
      <c r="G10" t="s">
        <v>580</v>
      </c>
      <c r="J10" s="12">
        <v>0.1559716670173224</v>
      </c>
    </row>
    <row r="11" spans="2:10" x14ac:dyDescent="0.45">
      <c r="B11" t="s">
        <v>560</v>
      </c>
      <c r="C11" s="11">
        <f>PnL!Q30</f>
        <v>326662.32152104616</v>
      </c>
      <c r="D11" s="23">
        <v>335937.59177679883</v>
      </c>
      <c r="E11" s="11">
        <f t="shared" si="0"/>
        <v>-9275.2702557526645</v>
      </c>
      <c r="F11" t="str">
        <f>IF(C11&gt;=D11,"At or above peers","Below peers")</f>
        <v>Below peers</v>
      </c>
    </row>
    <row r="13" spans="2:10" x14ac:dyDescent="0.45">
      <c r="B13" s="4" t="s">
        <v>581</v>
      </c>
    </row>
    <row r="14" spans="2:10" x14ac:dyDescent="0.45">
      <c r="B14" s="8" t="s">
        <v>582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E45"/>
  <sheetViews>
    <sheetView workbookViewId="0"/>
  </sheetViews>
  <sheetFormatPr defaultRowHeight="14.25" x14ac:dyDescent="0.45"/>
  <cols>
    <col min="1" max="1" width="2" customWidth="1"/>
    <col min="2" max="2" width="96" customWidth="1"/>
    <col min="3" max="3" width="12" customWidth="1"/>
    <col min="4" max="4" width="13" customWidth="1"/>
    <col min="5" max="17" width="12.46484375" customWidth="1"/>
  </cols>
  <sheetData>
    <row r="1" spans="2:5" ht="18" x14ac:dyDescent="0.55000000000000004">
      <c r="B1" s="7" t="s">
        <v>583</v>
      </c>
    </row>
    <row r="2" spans="2:5" x14ac:dyDescent="0.45">
      <c r="B2" s="8" t="s">
        <v>584</v>
      </c>
    </row>
    <row r="4" spans="2:5" x14ac:dyDescent="0.45">
      <c r="B4" s="9" t="s">
        <v>585</v>
      </c>
      <c r="C4" s="9" t="s">
        <v>586</v>
      </c>
      <c r="D4" s="9" t="s">
        <v>587</v>
      </c>
      <c r="E4" s="9" t="s">
        <v>588</v>
      </c>
    </row>
    <row r="5" spans="2:5" x14ac:dyDescent="0.45">
      <c r="B5" t="s">
        <v>589</v>
      </c>
      <c r="C5" s="50">
        <f>Headcount!Q12-(Inputs!$K$48+Headcount!Q10-Headcount!Q11)</f>
        <v>0</v>
      </c>
      <c r="D5" s="50">
        <v>9.9999999999999995E-7</v>
      </c>
      <c r="E5" t="str">
        <f t="shared" ref="E5:E43" si="0">IF(ABS(C5)&lt;=D5,"OK","FAIL")</f>
        <v>OK</v>
      </c>
    </row>
    <row r="6" spans="2:5" x14ac:dyDescent="0.45">
      <c r="B6" t="s">
        <v>590</v>
      </c>
      <c r="C6" s="50">
        <f>Headcount!Q22-(Inputs!$K$49+Headcount!Q20-Headcount!Q21)</f>
        <v>0</v>
      </c>
      <c r="D6" s="50">
        <v>9.9999999999999995E-7</v>
      </c>
      <c r="E6" t="str">
        <f t="shared" si="0"/>
        <v>OK</v>
      </c>
    </row>
    <row r="7" spans="2:5" x14ac:dyDescent="0.45">
      <c r="B7" t="s">
        <v>591</v>
      </c>
      <c r="C7" s="50">
        <f>Headcount!Q32-(Inputs!$K$50+Headcount!Q30-Headcount!Q31)</f>
        <v>0</v>
      </c>
      <c r="D7" s="50">
        <v>9.9999999999999995E-7</v>
      </c>
      <c r="E7" t="str">
        <f t="shared" si="0"/>
        <v>OK</v>
      </c>
    </row>
    <row r="8" spans="2:5" x14ac:dyDescent="0.45">
      <c r="B8" t="s">
        <v>592</v>
      </c>
      <c r="C8" s="50">
        <f>Headcount!Q42-(Inputs!$K$51+Headcount!Q40-Headcount!Q41)</f>
        <v>0</v>
      </c>
      <c r="D8" s="50">
        <v>9.9999999999999995E-7</v>
      </c>
      <c r="E8" t="str">
        <f t="shared" si="0"/>
        <v>OK</v>
      </c>
    </row>
    <row r="9" spans="2:5" x14ac:dyDescent="0.45">
      <c r="B9" t="s">
        <v>593</v>
      </c>
      <c r="C9" s="50">
        <f>Headcount!Q52-(Inputs!$K$52+Headcount!Q50-Headcount!Q51)</f>
        <v>0</v>
      </c>
      <c r="D9" s="50">
        <v>9.9999999999999995E-7</v>
      </c>
      <c r="E9" t="str">
        <f t="shared" si="0"/>
        <v>OK</v>
      </c>
    </row>
    <row r="10" spans="2:5" x14ac:dyDescent="0.45">
      <c r="B10" t="s">
        <v>594</v>
      </c>
      <c r="C10" s="50">
        <f>Headcount!Q62-(Inputs!$K$53+Headcount!Q60-Headcount!Q61)</f>
        <v>0</v>
      </c>
      <c r="D10" s="50">
        <v>9.9999999999999995E-7</v>
      </c>
      <c r="E10" t="str">
        <f t="shared" si="0"/>
        <v>OK</v>
      </c>
    </row>
    <row r="11" spans="2:5" x14ac:dyDescent="0.45">
      <c r="B11" t="s">
        <v>595</v>
      </c>
      <c r="C11" s="50">
        <f>Headcount!Q72-(Inputs!$K$54+Headcount!Q70-Headcount!Q71)</f>
        <v>0</v>
      </c>
      <c r="D11" s="50">
        <v>9.9999999999999995E-7</v>
      </c>
      <c r="E11" t="str">
        <f t="shared" si="0"/>
        <v>OK</v>
      </c>
    </row>
    <row r="12" spans="2:5" x14ac:dyDescent="0.45">
      <c r="B12" t="s">
        <v>596</v>
      </c>
      <c r="C12" s="50">
        <f>Headcount!Q82-(Inputs!$K$55+Headcount!Q80-Headcount!Q81)</f>
        <v>0</v>
      </c>
      <c r="D12" s="50">
        <v>9.9999999999999995E-7</v>
      </c>
      <c r="E12" t="str">
        <f t="shared" si="0"/>
        <v>OK</v>
      </c>
    </row>
    <row r="13" spans="2:5" x14ac:dyDescent="0.45">
      <c r="B13" t="s">
        <v>597</v>
      </c>
      <c r="C13" s="50">
        <f>Headcount!Q92-(Inputs!$K$56+Headcount!Q90-Headcount!Q91)</f>
        <v>0</v>
      </c>
      <c r="D13" s="50">
        <v>9.9999999999999995E-7</v>
      </c>
      <c r="E13" t="str">
        <f t="shared" si="0"/>
        <v>OK</v>
      </c>
    </row>
    <row r="14" spans="2:5" x14ac:dyDescent="0.45">
      <c r="B14" t="s">
        <v>598</v>
      </c>
      <c r="C14" s="50">
        <f>Headcount!Q102-(Inputs!$K$57+Headcount!Q100-Headcount!Q101)</f>
        <v>0</v>
      </c>
      <c r="D14" s="50">
        <v>9.9999999999999995E-7</v>
      </c>
      <c r="E14" t="str">
        <f t="shared" si="0"/>
        <v>OK</v>
      </c>
    </row>
    <row r="15" spans="2:5" x14ac:dyDescent="0.45">
      <c r="B15" t="s">
        <v>599</v>
      </c>
      <c r="C15" s="50">
        <f>Headcount!Q112-(Inputs!$K$58+Headcount!Q110-Headcount!Q111)</f>
        <v>0</v>
      </c>
      <c r="D15" s="50">
        <v>9.9999999999999995E-7</v>
      </c>
      <c r="E15" t="str">
        <f t="shared" si="0"/>
        <v>OK</v>
      </c>
    </row>
    <row r="16" spans="2:5" x14ac:dyDescent="0.45">
      <c r="B16" t="s">
        <v>600</v>
      </c>
      <c r="C16" s="50">
        <f>Headcount!Q122-(Inputs!$K$59+Headcount!Q120-Headcount!Q121)</f>
        <v>0</v>
      </c>
      <c r="D16" s="50">
        <v>9.9999999999999995E-7</v>
      </c>
      <c r="E16" t="str">
        <f t="shared" si="0"/>
        <v>OK</v>
      </c>
    </row>
    <row r="17" spans="2:5" x14ac:dyDescent="0.45">
      <c r="B17" t="s">
        <v>601</v>
      </c>
      <c r="C17" s="50">
        <f>Headcount!Q132-(Inputs!$K$60+Headcount!Q130-Headcount!Q131)</f>
        <v>0</v>
      </c>
      <c r="D17" s="50">
        <v>9.9999999999999995E-7</v>
      </c>
      <c r="E17" t="str">
        <f t="shared" si="0"/>
        <v>OK</v>
      </c>
    </row>
    <row r="18" spans="2:5" x14ac:dyDescent="0.45">
      <c r="B18" t="s">
        <v>602</v>
      </c>
      <c r="C18" s="50">
        <f>Headcount!Q142-(Inputs!$K$61+Headcount!Q140-Headcount!Q141)</f>
        <v>0</v>
      </c>
      <c r="D18" s="50">
        <v>9.9999999999999995E-7</v>
      </c>
      <c r="E18" t="str">
        <f t="shared" si="0"/>
        <v>OK</v>
      </c>
    </row>
    <row r="19" spans="2:5" x14ac:dyDescent="0.45">
      <c r="B19" t="s">
        <v>603</v>
      </c>
      <c r="C19" s="50">
        <f>Headcount!Q152-(Inputs!$K$62+Headcount!Q150-Headcount!Q151)</f>
        <v>0</v>
      </c>
      <c r="D19" s="50">
        <v>9.9999999999999995E-7</v>
      </c>
      <c r="E19" t="str">
        <f t="shared" si="0"/>
        <v>OK</v>
      </c>
    </row>
    <row r="20" spans="2:5" x14ac:dyDescent="0.45">
      <c r="B20" t="s">
        <v>604</v>
      </c>
      <c r="C20" s="50">
        <f>SUMPRODUCT(ABS(Headcount!E13:P13-Headcount!E12:P12-Headcount!E11:P11))+SUMPRODUCT(ABS(Headcount!E23:P23-Headcount!E22:P22-Headcount!E21:P21))+SUMPRODUCT(ABS(Headcount!E33:P33-Headcount!E32:P32-Headcount!E31:P31))+SUMPRODUCT(ABS(Headcount!E43:P43-Headcount!E42:P42-Headcount!E41:P41))+SUMPRODUCT(ABS(Headcount!E53:P53-Headcount!E52:P52-Headcount!E51:P51))+SUMPRODUCT(ABS(Headcount!E63:P63-Headcount!E62:P62-Headcount!E61:P61))+SUMPRODUCT(ABS(Headcount!E73:P73-Headcount!E72:P72-Headcount!E71:P71))+SUMPRODUCT(ABS(Headcount!E83:P83-Headcount!E82:P82-Headcount!E81:P81))+SUMPRODUCT(ABS(Headcount!E93:P93-Headcount!E92:P92-Headcount!E91:P91))+SUMPRODUCT(ABS(Headcount!E103:P103-Headcount!E102:P102-Headcount!E101:P101))+SUMPRODUCT(ABS(Headcount!E113:P113-Headcount!E112:P112-Headcount!E111:P111))+SUMPRODUCT(ABS(Headcount!E123:P123-Headcount!E122:P122-Headcount!E121:P121))+SUMPRODUCT(ABS(Headcount!E133:P133-Headcount!E132:P132-Headcount!E131:P131))+SUMPRODUCT(ABS(Headcount!E143:P143-Headcount!E142:P142-Headcount!E141:P141))+SUMPRODUCT(ABS(Headcount!E153:P153-Headcount!E152:P152-Headcount!E151:P151))</f>
        <v>1.8358925490957745E-13</v>
      </c>
      <c r="D20" s="50">
        <v>9.9999999999999995E-7</v>
      </c>
      <c r="E20" t="str">
        <f t="shared" si="0"/>
        <v>OK</v>
      </c>
    </row>
    <row r="21" spans="2:5" x14ac:dyDescent="0.45">
      <c r="B21" t="s">
        <v>605</v>
      </c>
      <c r="C21" s="50">
        <f>Headcount!P158-SUMIFS(Headcount!P:P,Headcount!C:C,"rd",Headcount!D:D,"close")</f>
        <v>0</v>
      </c>
      <c r="D21" s="50">
        <v>9.9999999999999995E-7</v>
      </c>
      <c r="E21" t="str">
        <f t="shared" si="0"/>
        <v>OK</v>
      </c>
    </row>
    <row r="22" spans="2:5" x14ac:dyDescent="0.45">
      <c r="B22" t="s">
        <v>606</v>
      </c>
      <c r="C22" s="50">
        <f>Headcount!P164-SUMIFS(Headcount!P:P,Headcount!C:C,"sales",Headcount!D:D,"close")</f>
        <v>0</v>
      </c>
      <c r="D22" s="50">
        <v>9.9999999999999995E-7</v>
      </c>
      <c r="E22" t="str">
        <f t="shared" si="0"/>
        <v>OK</v>
      </c>
    </row>
    <row r="23" spans="2:5" x14ac:dyDescent="0.45">
      <c r="B23" t="s">
        <v>607</v>
      </c>
      <c r="C23" s="50">
        <f>Headcount!P170-SUMIFS(Headcount!P:P,Headcount!C:C,"mkt",Headcount!D:D,"close")</f>
        <v>0</v>
      </c>
      <c r="D23" s="50">
        <v>9.9999999999999995E-7</v>
      </c>
      <c r="E23" t="str">
        <f t="shared" si="0"/>
        <v>OK</v>
      </c>
    </row>
    <row r="24" spans="2:5" x14ac:dyDescent="0.45">
      <c r="B24" t="s">
        <v>608</v>
      </c>
      <c r="C24" s="50">
        <f>Headcount!P176-SUMIFS(Headcount!P:P,Headcount!C:C,"cs",Headcount!D:D,"close")</f>
        <v>0</v>
      </c>
      <c r="D24" s="50">
        <v>9.9999999999999995E-7</v>
      </c>
      <c r="E24" t="str">
        <f t="shared" si="0"/>
        <v>OK</v>
      </c>
    </row>
    <row r="25" spans="2:5" x14ac:dyDescent="0.45">
      <c r="B25" t="s">
        <v>609</v>
      </c>
      <c r="C25" s="50">
        <f>Headcount!P182-SUMIFS(Headcount!P:P,Headcount!C:C,"ga",Headcount!D:D,"close")</f>
        <v>0</v>
      </c>
      <c r="D25" s="50">
        <v>9.9999999999999995E-7</v>
      </c>
      <c r="E25" t="str">
        <f t="shared" si="0"/>
        <v>OK</v>
      </c>
    </row>
    <row r="26" spans="2:5" x14ac:dyDescent="0.45">
      <c r="B26" t="s">
        <v>610</v>
      </c>
      <c r="C26" s="50">
        <f>Headcount!Q189-(Inputs!K63+Headcount!Q191-Headcount!Q193)</f>
        <v>0</v>
      </c>
      <c r="D26" s="50">
        <v>9.9999999999999995E-7</v>
      </c>
      <c r="E26" t="str">
        <f t="shared" si="0"/>
        <v>OK</v>
      </c>
    </row>
    <row r="27" spans="2:5" x14ac:dyDescent="0.45">
      <c r="B27" t="s">
        <v>611</v>
      </c>
      <c r="C27" s="50">
        <f>Inputs!X63-(Hires!Q10+Hires!Q11+Hires!Q17+Hires!Q18+Hires!Q24+Hires!Q25+Hires!Q31+Hires!Q32+Hires!Q38+Hires!Q39+Hires!Q45+Hires!Q46+Hires!Q52+Hires!Q53+Hires!Q59+Hires!Q60+Hires!Q66+Hires!Q67+Hires!Q73+Hires!Q74+Hires!Q80+Hires!Q81+Hires!Q87+Hires!Q88+Hires!Q94+Hires!Q95+Hires!Q101+Hires!Q102+Hires!Q108+Hires!Q109)</f>
        <v>0</v>
      </c>
      <c r="D27" s="50">
        <v>9.9999999999999995E-7</v>
      </c>
      <c r="E27" t="str">
        <f t="shared" si="0"/>
        <v>OK</v>
      </c>
    </row>
    <row r="28" spans="2:5" x14ac:dyDescent="0.45">
      <c r="B28" t="s">
        <v>612</v>
      </c>
      <c r="C28" s="50">
        <f>SUMPRODUCT(ABS(Sales_Capacity!E19:P19-Headcount!E53:P53))</f>
        <v>1.7053025658242404E-13</v>
      </c>
      <c r="D28" s="50">
        <v>9.9999999999999995E-7</v>
      </c>
      <c r="E28" t="str">
        <f t="shared" si="0"/>
        <v>OK</v>
      </c>
    </row>
    <row r="29" spans="2:5" x14ac:dyDescent="0.45">
      <c r="B29" t="s">
        <v>613</v>
      </c>
      <c r="C29" s="50">
        <f>(Opex!Q7+Opex!Q17+Opex!Q28+Opex!Q39+Opex!Q50)-(SUMPRODUCT(Headcount!E13:P13,Comp!E7:P7)/12+SUMPRODUCT(Headcount!E23:P23,Comp!E16:P16)/12+SUMPRODUCT(Headcount!E33:P33,Comp!E25:P25)/12+SUMPRODUCT(Headcount!E43:P43,Comp!E34:P34)/12+SUMPRODUCT(Headcount!E53:P53,Comp!E43:P43)/12+SUMPRODUCT(Headcount!E63:P63,Comp!E52:P52)/12+SUMPRODUCT(Headcount!E73:P73,Comp!E61:P61)/12+SUMPRODUCT(Headcount!E83:P83,Comp!E70:P70)/12+SUMPRODUCT(Headcount!E93:P93,Comp!E79:P79)/12+SUMPRODUCT(Headcount!E103:P103,Comp!E88:P88)/12+SUMPRODUCT(Headcount!E113:P113,Comp!E97:P97)/12+SUMPRODUCT(Headcount!E123:P123,Comp!E106:P106)/12+SUMPRODUCT(Headcount!E133:P133,Comp!E115:P115)/12+SUMPRODUCT(Headcount!E143:P143,Comp!E124:P124)/12+SUMPRODUCT(Headcount!E153:P153,Comp!E133:P133)/12)</f>
        <v>0</v>
      </c>
      <c r="D29" s="50">
        <v>0.01</v>
      </c>
      <c r="E29" t="str">
        <f t="shared" si="0"/>
        <v>OK</v>
      </c>
    </row>
    <row r="30" spans="2:5" x14ac:dyDescent="0.45">
      <c r="B30" t="s">
        <v>614</v>
      </c>
      <c r="C30" s="50">
        <f>ABS(Comp!P7-Inputs!$I$48*x_escalation*x_payMult*IF(12&gt;=x_meritMonth,1+x_merit,1))+ABS(Comp!P16-Inputs!$I$49*x_escalation*x_payMult*IF(12&gt;=x_meritMonth,1+x_merit,1))+ABS(Comp!P25-Inputs!$I$50*x_escalation*x_payMult*IF(12&gt;=x_meritMonth,1+x_merit,1))+ABS(Comp!P34-Inputs!$I$51*x_escalation*x_payMult*IF(12&gt;=x_meritMonth,1+x_merit,1))+ABS(Comp!P43-Inputs!$I$52*x_escalation*x_payMult*IF(12&gt;=x_meritMonth,1+x_merit,1))+ABS(Comp!P52-Inputs!$I$53*x_escalation*x_payMult*IF(12&gt;=x_meritMonth,1+x_merit,1))+ABS(Comp!P61-Inputs!$I$54*x_escalation*x_payMult*IF(12&gt;=x_meritMonth,1+x_merit,1))+ABS(Comp!P70-Inputs!$I$55*x_escalation*x_payMult*IF(12&gt;=x_meritMonth,1+x_merit,1))+ABS(Comp!P79-Inputs!$I$56*x_escalation*x_payMult*IF(12&gt;=x_meritMonth,1+x_merit,1))+ABS(Comp!P88-Inputs!$I$57*x_escalation*x_payMult*IF(12&gt;=x_meritMonth,1+x_merit,1))+ABS(Comp!P97-Inputs!$I$58*x_escalation*x_payMult*IF(12&gt;=x_meritMonth,1+x_merit,1))+ABS(Comp!P106-Inputs!$I$59*x_escalation*x_payMult*IF(12&gt;=x_meritMonth,1+x_merit,1))+ABS(Comp!P115-Inputs!$I$60*x_escalation*x_payMult*IF(12&gt;=x_meritMonth,1+x_merit,1))+ABS(Comp!P124-Inputs!$I$61*x_escalation*x_payMult*IF(12&gt;=x_meritMonth,1+x_merit,1))+ABS(Comp!P133-Inputs!$I$62*x_escalation*x_payMult*IF(12&gt;=x_meritMonth,1+x_merit,1))</f>
        <v>0</v>
      </c>
      <c r="D30" s="50">
        <v>0.01</v>
      </c>
      <c r="E30" t="str">
        <f t="shared" si="0"/>
        <v>OK</v>
      </c>
    </row>
    <row r="31" spans="2:5" x14ac:dyDescent="0.45">
      <c r="B31" t="s">
        <v>615</v>
      </c>
      <c r="C31" s="50">
        <f>ABS(Opex!Q8-Opex!Q7*x_load)+ABS(Opex!Q9-Opex!Q7*x_sbcRate)+ABS(Opex!Q18-Opex!Q17*x_load)+ABS(Opex!Q19-Opex!Q17*x_sbcRate)+ABS(Opex!Q29-Opex!Q28*x_load)+ABS(Opex!Q30-Opex!Q28*x_sbcRate)+ABS(Opex!Q40-Opex!Q39*x_load)+ABS(Opex!Q41-Opex!Q39*x_sbcRate)+ABS(Opex!Q51-Opex!Q50*x_load)+ABS(Opex!Q52-Opex!Q50*x_sbcRate)</f>
        <v>2.7939677238464355E-9</v>
      </c>
      <c r="D31" s="50">
        <v>0.01</v>
      </c>
      <c r="E31" t="str">
        <f t="shared" si="0"/>
        <v>OK</v>
      </c>
    </row>
    <row r="32" spans="2:5" x14ac:dyDescent="0.45">
      <c r="B32" t="s">
        <v>616</v>
      </c>
      <c r="C32" s="50">
        <f>ABS(Opex!Q11-SUM(Headcount!E159:P159)*x_softwarePerHead)+ABS(Opex!Q12-SUM(Headcount!E159:P159)*x_te_rd)+ABS(Opex!Q10-Headcount!Q160*x_equipPerHire)+ABS(Opex!Q21-SUM(Headcount!E165:P165)*x_softwarePerHead)+ABS(Opex!Q22-SUM(Headcount!E165:P165)*x_te_sales)+ABS(Opex!Q20-Headcount!Q166*x_equipPerHire)+ABS(Opex!Q32-SUM(Headcount!E171:P171)*x_softwarePerHead)+ABS(Opex!Q33-SUM(Headcount!E171:P171)*x_te_mkt)+ABS(Opex!Q31-Headcount!Q172*x_equipPerHire)+ABS(Opex!Q43-SUM(Headcount!E177:P177)*x_softwarePerHead)+ABS(Opex!Q44-SUM(Headcount!E177:P177)*x_te_cs)+ABS(Opex!Q42-Headcount!Q178*x_equipPerHire)+ABS(Opex!Q54-SUM(Headcount!E183:P183)*x_softwarePerHead)+ABS(Opex!Q55-SUM(Headcount!E183:P183)*x_te_ga)+ABS(Opex!Q53-Headcount!Q184*x_equipPerHire)</f>
        <v>6.9849193096160889E-10</v>
      </c>
      <c r="D32" s="50">
        <v>0.01</v>
      </c>
      <c r="E32" t="str">
        <f t="shared" si="0"/>
        <v>OK</v>
      </c>
    </row>
    <row r="33" spans="2:5" x14ac:dyDescent="0.45">
      <c r="B33" t="s">
        <v>617</v>
      </c>
      <c r="C33" s="50">
        <f>(Opex!Q13+Opex!Q23+Opex!Q34+Opex!Q45+Opex!Q56)-x_rentPerMonth*12</f>
        <v>0</v>
      </c>
      <c r="D33" s="50">
        <v>0.01</v>
      </c>
      <c r="E33" t="str">
        <f t="shared" si="0"/>
        <v>OK</v>
      </c>
    </row>
    <row r="34" spans="2:5" x14ac:dyDescent="0.45">
      <c r="B34" t="s">
        <v>618</v>
      </c>
      <c r="C34" s="50">
        <f>(PnL!Q14+PnL!Q7)-(Opex!Q14+Opex!Q25+Opex!Q36+Opex!Q47+Opex!Q59)</f>
        <v>0</v>
      </c>
      <c r="D34" s="50">
        <v>0.01</v>
      </c>
      <c r="E34" t="str">
        <f t="shared" si="0"/>
        <v>OK</v>
      </c>
    </row>
    <row r="35" spans="2:5" x14ac:dyDescent="0.45">
      <c r="B35" t="s">
        <v>619</v>
      </c>
      <c r="C35" s="50">
        <f>ABS(Opex!Q14-SUM(Opex!Q7:Q13))+ABS(Opex!Q25-SUM(Opex!Q17:Q24))+ABS(Opex!Q36-SUM(Opex!Q28:Q35))+ABS(Opex!Q47-SUM(Opex!Q39:Q46))+ABS(Opex!Q59-SUM(Opex!Q50:Q58))</f>
        <v>2.2351741790771484E-8</v>
      </c>
      <c r="D35" s="50">
        <v>0.01</v>
      </c>
      <c r="E35" t="str">
        <f t="shared" si="0"/>
        <v>OK</v>
      </c>
    </row>
    <row r="36" spans="2:5" x14ac:dyDescent="0.45">
      <c r="B36" t="s">
        <v>620</v>
      </c>
      <c r="C36" s="50">
        <f>ABS(PnL!Q8-(PnL!Q6-PnL!Q7))+ABS(PnL!Q15-(PnL!Q8-PnL!Q14))</f>
        <v>3.9115548133850098E-8</v>
      </c>
      <c r="D36" s="50">
        <v>0.01</v>
      </c>
      <c r="E36" t="str">
        <f t="shared" si="0"/>
        <v>OK</v>
      </c>
    </row>
    <row r="37" spans="2:5" x14ac:dyDescent="0.45">
      <c r="B37" t="s">
        <v>621</v>
      </c>
      <c r="C37" s="50">
        <f>PnL!Q15-(SUM(ARR!E14:P14)-(SUM(Opex!E14:P14)+SUM(Opex!E25:P25)+SUM(Opex!E36:P36)+SUM(Opex!E47:P47)+SUM(Opex!E59:P59)))</f>
        <v>-3.5390257835388184E-8</v>
      </c>
      <c r="D37" s="50">
        <v>0.01</v>
      </c>
      <c r="E37" t="str">
        <f t="shared" si="0"/>
        <v>OK</v>
      </c>
    </row>
    <row r="38" spans="2:5" x14ac:dyDescent="0.45">
      <c r="B38" t="s">
        <v>622</v>
      </c>
      <c r="C38" s="50">
        <f>ARR!Q12-(ARR!Q6+ARR!Q7+ARR!Q10-ARR!Q11)</f>
        <v>0</v>
      </c>
      <c r="D38" s="50">
        <v>0.01</v>
      </c>
      <c r="E38" t="str">
        <f t="shared" si="0"/>
        <v>OK</v>
      </c>
    </row>
    <row r="39" spans="2:5" x14ac:dyDescent="0.45">
      <c r="B39" t="s">
        <v>623</v>
      </c>
      <c r="C39" s="50">
        <f>SUMPRODUCT(ABS(ARR!F6:P6-ARR!E12:O12))</f>
        <v>0</v>
      </c>
      <c r="D39" s="50">
        <v>0.01</v>
      </c>
      <c r="E39" t="str">
        <f t="shared" si="0"/>
        <v>OK</v>
      </c>
    </row>
    <row r="40" spans="2:5" x14ac:dyDescent="0.45">
      <c r="B40" t="s">
        <v>624</v>
      </c>
      <c r="C40" s="50">
        <f>PnL!Q6-SUMPRODUCT(ARR!E6:P6+ARR!E12:P12)/24</f>
        <v>0</v>
      </c>
      <c r="D40" s="50">
        <v>0.01</v>
      </c>
      <c r="E40" t="str">
        <f t="shared" si="0"/>
        <v>OK</v>
      </c>
    </row>
    <row r="41" spans="2:5" x14ac:dyDescent="0.45">
      <c r="B41" t="s">
        <v>625</v>
      </c>
      <c r="C41" s="50">
        <f>ARR!Q7-SUM(Sales_Capacity!E35:P35)*x_quota/12*x_attainment</f>
        <v>0</v>
      </c>
      <c r="D41" s="50">
        <v>0.01</v>
      </c>
      <c r="E41" t="str">
        <f t="shared" si="0"/>
        <v>OK</v>
      </c>
    </row>
    <row r="42" spans="2:5" x14ac:dyDescent="0.45">
      <c r="B42" t="s">
        <v>626</v>
      </c>
      <c r="C42" s="50">
        <f>Opex!Q24-ARR!Q7*x_commissionRate</f>
        <v>0</v>
      </c>
      <c r="D42" s="50">
        <v>0.01</v>
      </c>
      <c r="E42" t="str">
        <f t="shared" si="0"/>
        <v>OK</v>
      </c>
    </row>
    <row r="43" spans="2:5" x14ac:dyDescent="0.45">
      <c r="B43" t="s">
        <v>627</v>
      </c>
      <c r="C43" s="50">
        <f>Opex!Q46-PnL!Q6*x_hostingPct</f>
        <v>0</v>
      </c>
      <c r="D43" s="50">
        <v>0.01</v>
      </c>
      <c r="E43" t="str">
        <f t="shared" si="0"/>
        <v>OK</v>
      </c>
    </row>
    <row r="45" spans="2:5" x14ac:dyDescent="0.45">
      <c r="B45" s="4" t="s">
        <v>628</v>
      </c>
      <c r="C45" s="4" t="str">
        <f>IF(COUNTIF(E5:E43,"OK")=39,"All 39 checks OK",COUNTIF(E5:E43,"FAIL")&amp;" check(s) FAIL")</f>
        <v>All 39 checks OK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93</vt:i4>
      </vt:variant>
    </vt:vector>
  </HeadingPairs>
  <TitlesOfParts>
    <vt:vector size="108" baseType="lpstr">
      <vt:lpstr>Cover</vt:lpstr>
      <vt:lpstr>Sources</vt:lpstr>
      <vt:lpstr>Inputs</vt:lpstr>
      <vt:lpstr>Tradeoffs</vt:lpstr>
      <vt:lpstr>Sensitivity</vt:lpstr>
      <vt:lpstr>Hires</vt:lpstr>
      <vt:lpstr>Headcount</vt:lpstr>
      <vt:lpstr>Sales_Capacity</vt:lpstr>
      <vt:lpstr>Roadmap</vt:lpstr>
      <vt:lpstr>ARR</vt:lpstr>
      <vt:lpstr>Comp</vt:lpstr>
      <vt:lpstr>Opex</vt:lpstr>
      <vt:lpstr>PnL</vt:lpstr>
      <vt:lpstr>Targets</vt:lpstr>
      <vt:lpstr>Checks</vt:lpstr>
      <vt:lpstr>CaseSel</vt:lpstr>
      <vt:lpstr>CheckStatus</vt:lpstr>
      <vt:lpstr>in_aePull</vt:lpstr>
      <vt:lpstr>in_arr0</vt:lpstr>
      <vt:lpstr>in_attainment</vt:lpstr>
      <vt:lpstr>in_attrition</vt:lpstr>
      <vt:lpstr>in_backfillLag</vt:lpstr>
      <vt:lpstr>in_churn</vt:lpstr>
      <vt:lpstr>in_commissionRate</vt:lpstr>
      <vt:lpstr>in_delay</vt:lpstr>
      <vt:lpstr>in_equipPerHire</vt:lpstr>
      <vt:lpstr>in_escalation</vt:lpstr>
      <vt:lpstr>in_expansion</vt:lpstr>
      <vt:lpstr>in_gaOtherPerMonth</vt:lpstr>
      <vt:lpstr>in_hostingPct</vt:lpstr>
      <vt:lpstr>in_load</vt:lpstr>
      <vt:lpstr>in_merit</vt:lpstr>
      <vt:lpstr>in_meritMonth</vt:lpstr>
      <vt:lpstr>in_moduleArrPerMonth</vt:lpstr>
      <vt:lpstr>in_moduleEngMonths</vt:lpstr>
      <vt:lpstr>in_payMult</vt:lpstr>
      <vt:lpstr>in_programsMult</vt:lpstr>
      <vt:lpstr>in_programsPerMonth</vt:lpstr>
      <vt:lpstr>in_quota</vt:lpstr>
      <vt:lpstr>in_rampMonths</vt:lpstr>
      <vt:lpstr>in_rdDelayMonths</vt:lpstr>
      <vt:lpstr>in_rdDelayShare</vt:lpstr>
      <vt:lpstr>in_recruitPerHire</vt:lpstr>
      <vt:lpstr>in_rentPerMonth</vt:lpstr>
      <vt:lpstr>in_sbcRate</vt:lpstr>
      <vt:lpstr>in_softwarePerHead</vt:lpstr>
      <vt:lpstr>in_te_cs</vt:lpstr>
      <vt:lpstr>in_te_ga</vt:lpstr>
      <vt:lpstr>in_te_mkt</vt:lpstr>
      <vt:lpstr>in_te_rd</vt:lpstr>
      <vt:lpstr>in_te_sales</vt:lpstr>
      <vt:lpstr>Lag</vt:lpstr>
      <vt:lpstr>Launch</vt:lpstr>
      <vt:lpstr>mAttr</vt:lpstr>
      <vt:lpstr>out_arrExit</vt:lpstr>
      <vt:lpstr>out_cor</vt:lpstr>
      <vt:lpstr>out_ga</vt:lpstr>
      <vt:lpstr>out_gp</vt:lpstr>
      <vt:lpstr>out_hcExit</vt:lpstr>
      <vt:lpstr>out_mkt</vt:lpstr>
      <vt:lpstr>out_newArr</vt:lpstr>
      <vt:lpstr>out_oi</vt:lpstr>
      <vt:lpstr>out_oing</vt:lpstr>
      <vt:lpstr>out_opex</vt:lpstr>
      <vt:lpstr>out_rd</vt:lpstr>
      <vt:lpstr>out_rev</vt:lpstr>
      <vt:lpstr>out_sales</vt:lpstr>
      <vt:lpstr>out_sbc</vt:lpstr>
      <vt:lpstr>out_sm</vt:lpstr>
      <vt:lpstr>Sens_attainment</vt:lpstr>
      <vt:lpstr>Sens_expansion</vt:lpstr>
      <vt:lpstr>Sens_payMult</vt:lpstr>
      <vt:lpstr>TornPick</vt:lpstr>
      <vt:lpstr>TornSide</vt:lpstr>
      <vt:lpstr>x_aePull</vt:lpstr>
      <vt:lpstr>x_arr0</vt:lpstr>
      <vt:lpstr>x_attainment</vt:lpstr>
      <vt:lpstr>x_attrition</vt:lpstr>
      <vt:lpstr>x_backfillLag</vt:lpstr>
      <vt:lpstr>x_churn</vt:lpstr>
      <vt:lpstr>x_commissionRate</vt:lpstr>
      <vt:lpstr>x_delay</vt:lpstr>
      <vt:lpstr>x_equipPerHire</vt:lpstr>
      <vt:lpstr>x_escalation</vt:lpstr>
      <vt:lpstr>x_expansion</vt:lpstr>
      <vt:lpstr>x_gaOtherPerMonth</vt:lpstr>
      <vt:lpstr>x_hostingPct</vt:lpstr>
      <vt:lpstr>x_load</vt:lpstr>
      <vt:lpstr>x_merit</vt:lpstr>
      <vt:lpstr>x_meritMonth</vt:lpstr>
      <vt:lpstr>x_moduleArrPerMonth</vt:lpstr>
      <vt:lpstr>x_moduleEngMonths</vt:lpstr>
      <vt:lpstr>x_payMult</vt:lpstr>
      <vt:lpstr>x_programsMult</vt:lpstr>
      <vt:lpstr>x_programsPerMonth</vt:lpstr>
      <vt:lpstr>x_quota</vt:lpstr>
      <vt:lpstr>x_rampMonths</vt:lpstr>
      <vt:lpstr>x_rdDelayMonths</vt:lpstr>
      <vt:lpstr>x_rdDelayShare</vt:lpstr>
      <vt:lpstr>x_recruitPerHire</vt:lpstr>
      <vt:lpstr>x_rentPerMonth</vt:lpstr>
      <vt:lpstr>x_sbcRate</vt:lpstr>
      <vt:lpstr>x_softwarePerHead</vt:lpstr>
      <vt:lpstr>x_te_cs</vt:lpstr>
      <vt:lpstr>x_te_ga</vt:lpstr>
      <vt:lpstr>x_te_mkt</vt:lpstr>
      <vt:lpstr>x_te_rd</vt:lpstr>
      <vt:lpstr>x_te_sales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2026-10-24T02:51:22Z</dcterms:created>
  <dcterms:modified xsi:type="dcterms:W3CDTF">2026-10-24T02:52:14Z</dcterms:modified>
</cp:coreProperties>
</file>