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xr:revisionPtr revIDLastSave="0" documentId="13_ncr:1_{3466C6D9-E0EC-4FC6-8BF0-28FE5EEDDF3B}" xr6:coauthVersionLast="47" xr6:coauthVersionMax="47" xr10:uidLastSave="{00000000-0000-0000-0000-000000000000}"/>
  <bookViews>
    <workbookView xWindow="1837" yWindow="1837" windowWidth="21600" windowHeight="11333" xr2:uid="{00000000-000D-0000-FFFF-FFFF00000000}"/>
  </bookViews>
  <sheets>
    <sheet name="Cover" sheetId="1" r:id="rId1"/>
    <sheet name="Inputs" sheetId="2" r:id="rId2"/>
    <sheet name="History" sheetId="3" r:id="rId3"/>
    <sheet name="Lookback" sheetId="4" r:id="rId4"/>
    <sheet name="Model" sheetId="5" r:id="rId5"/>
    <sheet name="Cases" sheetId="6" r:id="rId6"/>
    <sheet name="Sensitivity" sheetId="7" r:id="rId7"/>
    <sheet name="Gate" sheetId="8" r:id="rId8"/>
    <sheet name="Checks" sheetId="9" r:id="rId9"/>
  </sheets>
  <definedNames>
    <definedName name="AppleX">Cases!$E$36</definedName>
    <definedName name="BaseNPV1">Sensitivity!$D$20</definedName>
    <definedName name="BeG_1">Gate!$C$27</definedName>
    <definedName name="BeG_2">Gate!$C$28</definedName>
    <definedName name="BeG1_g">Gate!$C$34</definedName>
    <definedName name="BeG2_g">Gate!$C$35</definedName>
    <definedName name="Benefit2">Cases!$E$34</definedName>
    <definedName name="BreakevenP">Cases!$E$30</definedName>
    <definedName name="BullRev27">Cases!$E$35</definedName>
    <definedName name="CaseSel">Cases!$C$4</definedName>
    <definedName name="CheckStatus">Checks!$B$3</definedName>
    <definedName name="cmG">Gate!$C$5</definedName>
    <definedName name="Cont">Model!$D$26</definedName>
    <definedName name="ContV">Model!$D$24</definedName>
    <definedName name="Cost_26">History!$D$55</definedName>
    <definedName name="Cv">Model!$D$29</definedName>
    <definedName name="Cw">Model!$D$28</definedName>
    <definedName name="F_appleWHA">Inputs!$C$22</definedName>
    <definedName name="F_debtMax">Inputs!$C$21</definedName>
    <definedName name="F_debtMin">Inputs!$C$20</definedName>
    <definedName name="F_foaFY25">Inputs!$C$17</definedName>
    <definedName name="F_oi9m25">Inputs!$C$14</definedName>
    <definedName name="F_oi9m26">Inputs!$C$12</definedName>
    <definedName name="F_oiFY25">Inputs!$C$16</definedName>
    <definedName name="F_rev9m25">Inputs!$C$13</definedName>
    <definedName name="F_rev9m26">Inputs!$C$11</definedName>
    <definedName name="F_revFY25">Inputs!$C$15</definedName>
    <definedName name="F_tax">Inputs!$C$19</definedName>
    <definedName name="F_w">Inputs!$C$18</definedName>
    <definedName name="Fl_capped">Inputs!$C$63</definedName>
    <definedName name="Fl_gated">Inputs!$C$64</definedName>
    <definedName name="Fl_gl">Inputs!$C$61</definedName>
    <definedName name="Fl_vr">Inputs!$C$62</definedName>
    <definedName name="Fv">Model!$D$14</definedName>
    <definedName name="Fw">Model!$D$13</definedName>
    <definedName name="FwBase">Cases!$E$39</definedName>
    <definedName name="GateCurve_g">Gate!$C$31</definedName>
    <definedName name="GatedSpend27">Cases!$E$40</definedName>
    <definedName name="GateEarly">Gate!$C$9</definedName>
    <definedName name="GateMap_cm">Gate!$C$33</definedName>
    <definedName name="GateMap_g">Gate!$C$32</definedName>
    <definedName name="GateR">Gate!$C$10</definedName>
    <definedName name="GIdx">Gate!$C$6</definedName>
    <definedName name="GStar">Gate!$C$7</definedName>
    <definedName name="IRR_">Model!$D$54</definedName>
    <definedName name="J_cap">Inputs!$C$31</definedName>
    <definedName name="J_cmGate">Inputs!$C$33</definedName>
    <definedName name="J_e">Inputs!$C$30</definedName>
    <definedName name="J_gate">Inputs!$C$32</definedName>
    <definedName name="J_k">Inputs!$C$29</definedName>
    <definedName name="J_r">Inputs!$C$27</definedName>
    <definedName name="J_s">Inputs!$C$28</definedName>
    <definedName name="J_trip">Inputs!$C$34</definedName>
    <definedName name="L_cap">Inputs!$C$56</definedName>
    <definedName name="L_cm">Inputs!$C$48</definedName>
    <definedName name="L_e">Inputs!$C$50</definedName>
    <definedName name="L_g1">Inputs!$C$47</definedName>
    <definedName name="L_gate">Inputs!$C$66</definedName>
    <definedName name="L_gT">Inputs!$C$52</definedName>
    <definedName name="L_k">Inputs!$C$55</definedName>
    <definedName name="L_q">Inputs!$C$53</definedName>
    <definedName name="L_r">Inputs!$C$51</definedName>
    <definedName name="L_s">Inputs!$C$49</definedName>
    <definedName name="L_tax">Inputs!$C$65</definedName>
    <definedName name="L_w">Inputs!$C$54</definedName>
    <definedName name="Lb9mOiChg">Lookback!$F$24</definedName>
    <definedName name="Lb9mRevChg">Lookback!$F$23</definedName>
    <definedName name="LbActual">Lookback!$F$15</definedName>
    <definedName name="LbActualRev">Lookback!$F$16</definedName>
    <definedName name="LbAT">Lookback!$E$13</definedName>
    <definedName name="LbCarried">Lookback!$G$13</definedName>
    <definedName name="LbCharge">Lookback!$F$17</definedName>
    <definedName name="LbLaborChg">Lookback!$F$22</definedName>
    <definedName name="LbLoss2225">Lookback!$F$20</definedName>
    <definedName name="LbPre">Lookback!$D$13</definedName>
    <definedName name="LbRev">Lookback!$C$13</definedName>
    <definedName name="LbRevChg">Lookback!$F$21</definedName>
    <definedName name="LbShareFoA">Lookback!$F$25</definedName>
    <definedName name="LbTTM">Lookback!$F$18</definedName>
    <definedName name="LbTTMRev">Lookback!$F$19</definedName>
    <definedName name="Loss_27">Gate!$C$11</definedName>
    <definedName name="NfailC">Cases!$E$29</definedName>
    <definedName name="NPVc">Model!$D$53</definedName>
    <definedName name="Oi_26">History!$D$54</definedName>
    <definedName name="OptEff">Inputs!$C$59</definedName>
    <definedName name="OptionSel">Inputs!$C$5</definedName>
    <definedName name="Payback">Model!$D$55</definedName>
    <definedName name="PVTV">Model!$D$58</definedName>
    <definedName name="Q4oi_25">History!$D$52</definedName>
    <definedName name="Q4rev_25">History!$D$51</definedName>
    <definedName name="Rev_2036">Model!$D$57</definedName>
    <definedName name="Rev_26">History!$D$53</definedName>
    <definedName name="Rg_0">Model!$D$11</definedName>
    <definedName name="RG_26">Gate!$C$8</definedName>
    <definedName name="Rq_0">Model!$D$12</definedName>
    <definedName name="ScenarioSel">Inputs!$C$6</definedName>
    <definedName name="ScnEff">Inputs!$C$60</definedName>
    <definedName name="SensA_x">Sensitivity!$C$6</definedName>
    <definedName name="SensA_y">Sensitivity!$C$7</definedName>
    <definedName name="Set_cap">Inputs!$G$56</definedName>
    <definedName name="Set_cm">Inputs!$G$48</definedName>
    <definedName name="Set_e">Inputs!$G$50</definedName>
    <definedName name="Set_g1">Inputs!$G$47</definedName>
    <definedName name="Set_gT">Inputs!$G$52</definedName>
    <definedName name="Set_k">Inputs!$G$55</definedName>
    <definedName name="Set_q">Inputs!$G$53</definedName>
    <definedName name="Set_r">Inputs!$G$51</definedName>
    <definedName name="Set_s">Inputs!$G$49</definedName>
    <definedName name="Set_w">Inputs!$G$54</definedName>
    <definedName name="Spend">Model!$D$56</definedName>
    <definedName name="StopV">Model!$D$25</definedName>
    <definedName name="StopWD">Cases!$E$38</definedName>
    <definedName name="Top_1">Sensitivity!$D$21</definedName>
    <definedName name="Top_2">Sensitivity!$D$22</definedName>
    <definedName name="TornPick">Sensitivity!$C$4</definedName>
    <definedName name="TornSide">Sensitivity!$C$5</definedName>
    <definedName name="TripQ">Gate!$C$12</definedName>
    <definedName name="TV">Model!$O$48</definedName>
    <definedName name="TVShare9">Cases!$E$37</definedName>
    <definedName name="Vs_25">History!$D$56</definedName>
    <definedName name="WD_1">Model!$D$27</definedName>
    <definedName name="WorstC">Cases!$E$31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5" i="9" l="1"/>
  <c r="E25" i="9" s="1"/>
  <c r="C24" i="9"/>
  <c r="E24" i="9" s="1"/>
  <c r="C23" i="9"/>
  <c r="E23" i="9" s="1"/>
  <c r="C19" i="9"/>
  <c r="E19" i="9" s="1"/>
  <c r="C7" i="9"/>
  <c r="E7" i="9" s="1"/>
  <c r="C6" i="9"/>
  <c r="E6" i="9" s="1"/>
  <c r="C5" i="9"/>
  <c r="E5" i="9" s="1"/>
  <c r="C28" i="8"/>
  <c r="C27" i="8"/>
  <c r="C6" i="8"/>
  <c r="C7" i="8" s="1"/>
  <c r="C5" i="8"/>
  <c r="D20" i="7"/>
  <c r="H19" i="7" s="1"/>
  <c r="G19" i="7"/>
  <c r="F19" i="7"/>
  <c r="G18" i="7"/>
  <c r="F18" i="7"/>
  <c r="G17" i="7"/>
  <c r="F17" i="7"/>
  <c r="G16" i="7"/>
  <c r="F16" i="7"/>
  <c r="G15" i="7"/>
  <c r="F15" i="7"/>
  <c r="G14" i="7"/>
  <c r="F14" i="7"/>
  <c r="G13" i="7"/>
  <c r="F13" i="7"/>
  <c r="G12" i="7"/>
  <c r="F12" i="7"/>
  <c r="G11" i="7"/>
  <c r="F11" i="7"/>
  <c r="E37" i="6"/>
  <c r="E36" i="6"/>
  <c r="E31" i="6"/>
  <c r="E29" i="6"/>
  <c r="E30" i="6" s="1"/>
  <c r="C14" i="1" s="1"/>
  <c r="E26" i="6"/>
  <c r="E12" i="1" s="1"/>
  <c r="D26" i="6"/>
  <c r="D12" i="1" s="1"/>
  <c r="C26" i="6"/>
  <c r="C12" i="1" s="1"/>
  <c r="E25" i="6"/>
  <c r="E11" i="1" s="1"/>
  <c r="D25" i="6"/>
  <c r="D11" i="1" s="1"/>
  <c r="C25" i="6"/>
  <c r="C11" i="1" s="1"/>
  <c r="E24" i="6"/>
  <c r="E10" i="1" s="1"/>
  <c r="D24" i="6"/>
  <c r="D10" i="1" s="1"/>
  <c r="C24" i="6"/>
  <c r="C10" i="1" s="1"/>
  <c r="E23" i="6"/>
  <c r="E9" i="1" s="1"/>
  <c r="D23" i="6"/>
  <c r="D9" i="1" s="1"/>
  <c r="C23" i="6"/>
  <c r="C9" i="1" s="1"/>
  <c r="E7" i="5"/>
  <c r="E33" i="4"/>
  <c r="D33" i="4"/>
  <c r="E32" i="4"/>
  <c r="D32" i="4"/>
  <c r="E31" i="4"/>
  <c r="D31" i="4"/>
  <c r="E30" i="4"/>
  <c r="D30" i="4"/>
  <c r="E29" i="4"/>
  <c r="D29" i="4"/>
  <c r="F25" i="4"/>
  <c r="F24" i="4"/>
  <c r="F23" i="4"/>
  <c r="F22" i="4"/>
  <c r="F21" i="4"/>
  <c r="F20" i="4"/>
  <c r="F16" i="4"/>
  <c r="F15" i="4"/>
  <c r="D11" i="4"/>
  <c r="C11" i="4"/>
  <c r="D10" i="4"/>
  <c r="C10" i="4"/>
  <c r="H10" i="4" s="1"/>
  <c r="D9" i="4"/>
  <c r="C9" i="4"/>
  <c r="H9" i="4" s="1"/>
  <c r="D8" i="4"/>
  <c r="C8" i="4"/>
  <c r="D7" i="4"/>
  <c r="C7" i="4"/>
  <c r="D6" i="4"/>
  <c r="C6" i="4"/>
  <c r="D5" i="4"/>
  <c r="C5" i="4"/>
  <c r="H5" i="4" s="1"/>
  <c r="D52" i="3"/>
  <c r="D54" i="3" s="1"/>
  <c r="D51" i="3"/>
  <c r="D53" i="3" s="1"/>
  <c r="M47" i="3"/>
  <c r="L47" i="3"/>
  <c r="J47" i="3"/>
  <c r="H47" i="3"/>
  <c r="M46" i="3"/>
  <c r="L46" i="3"/>
  <c r="J46" i="3"/>
  <c r="H46" i="3"/>
  <c r="M45" i="3"/>
  <c r="J45" i="3"/>
  <c r="H45" i="3"/>
  <c r="G44" i="3"/>
  <c r="F44" i="3"/>
  <c r="M44" i="3" s="1"/>
  <c r="E44" i="3"/>
  <c r="L45" i="3" s="1"/>
  <c r="D44" i="3"/>
  <c r="K45" i="3" s="1"/>
  <c r="M43" i="3"/>
  <c r="J43" i="3"/>
  <c r="H43" i="3"/>
  <c r="M42" i="3"/>
  <c r="J42" i="3"/>
  <c r="H42" i="3"/>
  <c r="M41" i="3"/>
  <c r="J41" i="3"/>
  <c r="H41" i="3"/>
  <c r="G40" i="3"/>
  <c r="F40" i="3"/>
  <c r="E40" i="3"/>
  <c r="L43" i="3" s="1"/>
  <c r="D40" i="3"/>
  <c r="K42" i="3" s="1"/>
  <c r="M39" i="3"/>
  <c r="J39" i="3"/>
  <c r="H39" i="3"/>
  <c r="M38" i="3"/>
  <c r="J38" i="3"/>
  <c r="H38" i="3"/>
  <c r="M37" i="3"/>
  <c r="J37" i="3"/>
  <c r="H37" i="3"/>
  <c r="M36" i="3"/>
  <c r="E36" i="3"/>
  <c r="L37" i="3" s="1"/>
  <c r="D36" i="3"/>
  <c r="K36" i="3" s="1"/>
  <c r="M35" i="3"/>
  <c r="J35" i="3"/>
  <c r="H35" i="3"/>
  <c r="M34" i="3"/>
  <c r="J34" i="3"/>
  <c r="H34" i="3"/>
  <c r="M33" i="3"/>
  <c r="J33" i="3"/>
  <c r="H33" i="3"/>
  <c r="M32" i="3"/>
  <c r="E32" i="3"/>
  <c r="L32" i="3" s="1"/>
  <c r="D32" i="3"/>
  <c r="H32" i="3" s="1"/>
  <c r="M31" i="3"/>
  <c r="J31" i="3"/>
  <c r="H31" i="3"/>
  <c r="M30" i="3"/>
  <c r="J30" i="3"/>
  <c r="H30" i="3"/>
  <c r="M29" i="3"/>
  <c r="J29" i="3"/>
  <c r="H29" i="3"/>
  <c r="M28" i="3"/>
  <c r="E28" i="3"/>
  <c r="L30" i="3" s="1"/>
  <c r="D28" i="3"/>
  <c r="K31" i="3" s="1"/>
  <c r="M27" i="3"/>
  <c r="H27" i="3"/>
  <c r="M26" i="3"/>
  <c r="H26" i="3"/>
  <c r="M25" i="3"/>
  <c r="H25" i="3"/>
  <c r="H21" i="3"/>
  <c r="H20" i="3"/>
  <c r="H19" i="3"/>
  <c r="H18" i="3"/>
  <c r="H17" i="3"/>
  <c r="H16" i="3"/>
  <c r="H12" i="3"/>
  <c r="H11" i="3"/>
  <c r="H10" i="3"/>
  <c r="H9" i="3"/>
  <c r="H8" i="3"/>
  <c r="H7" i="3"/>
  <c r="H6" i="3"/>
  <c r="C66" i="2"/>
  <c r="C65" i="2"/>
  <c r="E10" i="4" s="1"/>
  <c r="C60" i="2"/>
  <c r="H52" i="2" s="1"/>
  <c r="C52" i="2" s="1"/>
  <c r="C59" i="2"/>
  <c r="C64" i="2" s="1"/>
  <c r="H56" i="2"/>
  <c r="C56" i="2" s="1"/>
  <c r="H55" i="2"/>
  <c r="C55" i="2"/>
  <c r="H54" i="2"/>
  <c r="C54" i="2" s="1"/>
  <c r="H51" i="2"/>
  <c r="C51" i="2" s="1"/>
  <c r="H50" i="2"/>
  <c r="C50" i="2"/>
  <c r="H49" i="2"/>
  <c r="C49" i="2"/>
  <c r="C17" i="2"/>
  <c r="C16" i="2"/>
  <c r="C15" i="2"/>
  <c r="C14" i="2"/>
  <c r="C13" i="2"/>
  <c r="C12" i="2"/>
  <c r="C11" i="2"/>
  <c r="K46" i="3" l="1"/>
  <c r="K47" i="3"/>
  <c r="F19" i="4" s="1"/>
  <c r="H7" i="4"/>
  <c r="H11" i="4"/>
  <c r="I13" i="7"/>
  <c r="F5" i="4"/>
  <c r="F7" i="4"/>
  <c r="F6" i="4"/>
  <c r="C20" i="1"/>
  <c r="K33" i="3"/>
  <c r="K41" i="3"/>
  <c r="L41" i="3"/>
  <c r="M40" i="3"/>
  <c r="H8" i="4"/>
  <c r="E9" i="4"/>
  <c r="K44" i="3"/>
  <c r="L44" i="3"/>
  <c r="E22" i="5"/>
  <c r="L33" i="3"/>
  <c r="L34" i="3"/>
  <c r="L40" i="3"/>
  <c r="K34" i="3"/>
  <c r="K35" i="3"/>
  <c r="E7" i="4"/>
  <c r="L35" i="3"/>
  <c r="H44" i="3"/>
  <c r="J44" i="3"/>
  <c r="C8" i="9"/>
  <c r="E8" i="9" s="1"/>
  <c r="I19" i="7"/>
  <c r="J19" i="7" s="1"/>
  <c r="F8" i="4"/>
  <c r="D6" i="2"/>
  <c r="H53" i="2"/>
  <c r="C53" i="2" s="1"/>
  <c r="D5" i="2"/>
  <c r="F9" i="4"/>
  <c r="F12" i="4"/>
  <c r="E34" i="6"/>
  <c r="F11" i="4"/>
  <c r="C62" i="2"/>
  <c r="C20" i="9"/>
  <c r="E20" i="9" s="1"/>
  <c r="D11" i="5"/>
  <c r="D55" i="3"/>
  <c r="E43" i="5" s="1"/>
  <c r="D12" i="5"/>
  <c r="C12" i="4"/>
  <c r="C22" i="9"/>
  <c r="E22" i="9" s="1"/>
  <c r="C15" i="1"/>
  <c r="E38" i="6"/>
  <c r="D56" i="3"/>
  <c r="C10" i="9" s="1"/>
  <c r="E10" i="9" s="1"/>
  <c r="D12" i="4"/>
  <c r="E12" i="4" s="1"/>
  <c r="C13" i="4"/>
  <c r="K39" i="3"/>
  <c r="H13" i="7"/>
  <c r="L39" i="3"/>
  <c r="H28" i="3"/>
  <c r="H6" i="4"/>
  <c r="F7" i="5"/>
  <c r="E8" i="4"/>
  <c r="E11" i="4"/>
  <c r="H14" i="7"/>
  <c r="I14" i="7"/>
  <c r="E46" i="5"/>
  <c r="C19" i="1"/>
  <c r="J40" i="3"/>
  <c r="H40" i="3"/>
  <c r="C61" i="2"/>
  <c r="K40" i="3"/>
  <c r="E6" i="4"/>
  <c r="K28" i="3"/>
  <c r="L28" i="3"/>
  <c r="K29" i="3"/>
  <c r="H15" i="7"/>
  <c r="C63" i="2"/>
  <c r="L29" i="3"/>
  <c r="I15" i="7"/>
  <c r="H36" i="3"/>
  <c r="J36" i="3"/>
  <c r="H11" i="7"/>
  <c r="K30" i="3"/>
  <c r="L36" i="3"/>
  <c r="L42" i="3"/>
  <c r="K43" i="3"/>
  <c r="H17" i="7"/>
  <c r="L31" i="3"/>
  <c r="K37" i="3"/>
  <c r="F10" i="4"/>
  <c r="G10" i="4" s="1"/>
  <c r="I18" i="7"/>
  <c r="H18" i="7"/>
  <c r="J32" i="3"/>
  <c r="K32" i="3"/>
  <c r="K38" i="3"/>
  <c r="E5" i="4"/>
  <c r="H12" i="7"/>
  <c r="L38" i="3"/>
  <c r="I12" i="7"/>
  <c r="H16" i="7"/>
  <c r="F18" i="4"/>
  <c r="I16" i="7"/>
  <c r="H47" i="2"/>
  <c r="C47" i="2" s="1"/>
  <c r="E10" i="5" s="1"/>
  <c r="I17" i="7"/>
  <c r="I11" i="7"/>
  <c r="H48" i="2"/>
  <c r="C48" i="2" s="1"/>
  <c r="G7" i="4" l="1"/>
  <c r="G9" i="4"/>
  <c r="J13" i="7"/>
  <c r="G11" i="4"/>
  <c r="G6" i="4"/>
  <c r="G8" i="4"/>
  <c r="E12" i="5"/>
  <c r="F12" i="5" s="1"/>
  <c r="G12" i="4"/>
  <c r="C4" i="5"/>
  <c r="J18" i="7"/>
  <c r="J15" i="7"/>
  <c r="J17" i="7"/>
  <c r="J11" i="7"/>
  <c r="J16" i="7"/>
  <c r="J14" i="7"/>
  <c r="F22" i="5"/>
  <c r="F10" i="5"/>
  <c r="F43" i="5"/>
  <c r="G7" i="5"/>
  <c r="F46" i="5"/>
  <c r="F20" i="5"/>
  <c r="G5" i="4"/>
  <c r="E13" i="4"/>
  <c r="H12" i="4"/>
  <c r="J12" i="7"/>
  <c r="E39" i="6"/>
  <c r="E40" i="6" s="1"/>
  <c r="D14" i="5"/>
  <c r="D13" i="5"/>
  <c r="C11" i="8"/>
  <c r="C12" i="8" s="1"/>
  <c r="C18" i="1" s="1"/>
  <c r="D29" i="5"/>
  <c r="D28" i="5"/>
  <c r="D25" i="5" s="1"/>
  <c r="D13" i="4"/>
  <c r="E11" i="5"/>
  <c r="E35" i="6"/>
  <c r="C8" i="8"/>
  <c r="G13" i="4" l="1"/>
  <c r="F17" i="4" s="1"/>
  <c r="D21" i="7"/>
  <c r="F11" i="5"/>
  <c r="F17" i="5" s="1"/>
  <c r="F18" i="5" s="1"/>
  <c r="D27" i="5"/>
  <c r="E20" i="5" s="1"/>
  <c r="D22" i="7"/>
  <c r="C10" i="8"/>
  <c r="C17" i="1" s="1"/>
  <c r="C9" i="8"/>
  <c r="C16" i="1" s="1"/>
  <c r="G14" i="5"/>
  <c r="E14" i="5"/>
  <c r="F14" i="5"/>
  <c r="E17" i="5"/>
  <c r="G12" i="5"/>
  <c r="G22" i="5"/>
  <c r="G10" i="5"/>
  <c r="G43" i="5"/>
  <c r="H7" i="5"/>
  <c r="G46" i="5"/>
  <c r="G20" i="5"/>
  <c r="C9" i="9"/>
  <c r="E9" i="9" s="1"/>
  <c r="H13" i="5"/>
  <c r="G13" i="5"/>
  <c r="F13" i="5"/>
  <c r="E13" i="5"/>
  <c r="C21" i="9" l="1"/>
  <c r="E21" i="9" s="1"/>
  <c r="G11" i="5"/>
  <c r="G17" i="5" s="1"/>
  <c r="G19" i="5"/>
  <c r="H10" i="5"/>
  <c r="H22" i="5"/>
  <c r="H46" i="5"/>
  <c r="H43" i="5"/>
  <c r="I7" i="5"/>
  <c r="H20" i="5"/>
  <c r="H12" i="5"/>
  <c r="E18" i="5"/>
  <c r="H14" i="5"/>
  <c r="H19" i="5" s="1"/>
  <c r="E19" i="5"/>
  <c r="F19" i="5"/>
  <c r="H11" i="5" l="1"/>
  <c r="H17" i="5" s="1"/>
  <c r="F21" i="5"/>
  <c r="E21" i="5"/>
  <c r="I12" i="5"/>
  <c r="I10" i="5"/>
  <c r="I22" i="5"/>
  <c r="I43" i="5"/>
  <c r="I46" i="5"/>
  <c r="I20" i="5"/>
  <c r="J7" i="5"/>
  <c r="I13" i="5"/>
  <c r="I14" i="5"/>
  <c r="G18" i="5"/>
  <c r="I11" i="5" l="1"/>
  <c r="I17" i="5" s="1"/>
  <c r="I19" i="5"/>
  <c r="G21" i="5"/>
  <c r="J22" i="5"/>
  <c r="J10" i="5"/>
  <c r="J43" i="5"/>
  <c r="K7" i="5"/>
  <c r="J20" i="5"/>
  <c r="J46" i="5"/>
  <c r="J13" i="5"/>
  <c r="J14" i="5"/>
  <c r="J12" i="5"/>
  <c r="H18" i="5"/>
  <c r="J11" i="5" l="1"/>
  <c r="J17" i="5" s="1"/>
  <c r="J19" i="5"/>
  <c r="H21" i="5"/>
  <c r="K12" i="5"/>
  <c r="K43" i="5"/>
  <c r="K22" i="5"/>
  <c r="K10" i="5"/>
  <c r="L7" i="5"/>
  <c r="K20" i="5"/>
  <c r="K46" i="5"/>
  <c r="K14" i="5"/>
  <c r="K13" i="5"/>
  <c r="I18" i="5"/>
  <c r="K11" i="5" l="1"/>
  <c r="K17" i="5" s="1"/>
  <c r="K19" i="5"/>
  <c r="I21" i="5"/>
  <c r="L12" i="5"/>
  <c r="L10" i="5"/>
  <c r="L43" i="5"/>
  <c r="L22" i="5"/>
  <c r="L46" i="5"/>
  <c r="M7" i="5"/>
  <c r="L20" i="5"/>
  <c r="L13" i="5"/>
  <c r="L14" i="5"/>
  <c r="J18" i="5"/>
  <c r="L11" i="5" l="1"/>
  <c r="L17" i="5" s="1"/>
  <c r="L19" i="5"/>
  <c r="M12" i="5"/>
  <c r="J21" i="5"/>
  <c r="M22" i="5"/>
  <c r="M46" i="5"/>
  <c r="M10" i="5"/>
  <c r="M43" i="5"/>
  <c r="N7" i="5"/>
  <c r="M20" i="5"/>
  <c r="M13" i="5"/>
  <c r="M14" i="5"/>
  <c r="K18" i="5"/>
  <c r="M11" i="5" l="1"/>
  <c r="M17" i="5" s="1"/>
  <c r="M19" i="5"/>
  <c r="K21" i="5"/>
  <c r="N22" i="5"/>
  <c r="N46" i="5"/>
  <c r="N43" i="5"/>
  <c r="N10" i="5"/>
  <c r="N20" i="5"/>
  <c r="N14" i="5"/>
  <c r="N13" i="5"/>
  <c r="N12" i="5"/>
  <c r="L18" i="5"/>
  <c r="N11" i="5" l="1"/>
  <c r="N17" i="5" s="1"/>
  <c r="N19" i="5"/>
  <c r="L21" i="5"/>
  <c r="M18" i="5"/>
  <c r="M21" i="5" l="1"/>
  <c r="N18" i="5"/>
  <c r="N21" i="5" l="1"/>
  <c r="D24" i="5" s="1"/>
  <c r="D44" i="8" l="1"/>
  <c r="D26" i="5"/>
  <c r="J7" i="6" l="1"/>
  <c r="I17" i="8"/>
  <c r="F31" i="5"/>
  <c r="E31" i="5"/>
  <c r="G31" i="5"/>
  <c r="E39" i="5"/>
  <c r="F39" i="5"/>
  <c r="H31" i="5"/>
  <c r="G39" i="5"/>
  <c r="H39" i="5"/>
  <c r="I31" i="5"/>
  <c r="I39" i="5"/>
  <c r="J31" i="5"/>
  <c r="J39" i="5"/>
  <c r="K31" i="5"/>
  <c r="K39" i="5"/>
  <c r="L31" i="5"/>
  <c r="M31" i="5"/>
  <c r="L39" i="5"/>
  <c r="M39" i="5"/>
  <c r="N31" i="5"/>
  <c r="N39" i="5"/>
  <c r="L35" i="5" l="1"/>
  <c r="L38" i="5"/>
  <c r="L36" i="5"/>
  <c r="L34" i="5"/>
  <c r="L37" i="5"/>
  <c r="M38" i="5"/>
  <c r="M35" i="5"/>
  <c r="M36" i="5"/>
  <c r="M34" i="5"/>
  <c r="M37" i="5"/>
  <c r="J38" i="5"/>
  <c r="J35" i="5"/>
  <c r="J36" i="5"/>
  <c r="J34" i="5"/>
  <c r="J37" i="5"/>
  <c r="N35" i="5"/>
  <c r="N36" i="5"/>
  <c r="N38" i="5"/>
  <c r="N34" i="5"/>
  <c r="D57" i="5" s="1"/>
  <c r="I7" i="6" s="1"/>
  <c r="N37" i="5"/>
  <c r="K35" i="5"/>
  <c r="K36" i="5"/>
  <c r="K38" i="5"/>
  <c r="K34" i="5"/>
  <c r="K37" i="5"/>
  <c r="H38" i="5"/>
  <c r="H36" i="5"/>
  <c r="H35" i="5"/>
  <c r="H34" i="5"/>
  <c r="H37" i="5"/>
  <c r="F34" i="5"/>
  <c r="F35" i="5"/>
  <c r="F36" i="5"/>
  <c r="F37" i="5"/>
  <c r="F38" i="5"/>
  <c r="I35" i="5"/>
  <c r="I38" i="5"/>
  <c r="I36" i="5"/>
  <c r="I34" i="5"/>
  <c r="I37" i="5"/>
  <c r="G38" i="5"/>
  <c r="G36" i="5"/>
  <c r="G35" i="5"/>
  <c r="G34" i="5"/>
  <c r="G37" i="5"/>
  <c r="E36" i="5"/>
  <c r="E35" i="5"/>
  <c r="E34" i="5"/>
  <c r="E38" i="5"/>
  <c r="E37" i="5"/>
  <c r="J40" i="5" l="1"/>
  <c r="J41" i="5" s="1"/>
  <c r="J42" i="5" s="1"/>
  <c r="J44" i="5" s="1"/>
  <c r="G40" i="5"/>
  <c r="G41" i="5" s="1"/>
  <c r="G42" i="5" s="1"/>
  <c r="G44" i="5" s="1"/>
  <c r="L40" i="5"/>
  <c r="L41" i="5" s="1"/>
  <c r="L42" i="5" s="1"/>
  <c r="L44" i="5" s="1"/>
  <c r="M40" i="5"/>
  <c r="M41" i="5" s="1"/>
  <c r="M42" i="5" s="1"/>
  <c r="M44" i="5" s="1"/>
  <c r="I40" i="5"/>
  <c r="I41" i="5" s="1"/>
  <c r="I42" i="5" s="1"/>
  <c r="I44" i="5" s="1"/>
  <c r="N40" i="5"/>
  <c r="N41" i="5" s="1"/>
  <c r="N42" i="5" s="1"/>
  <c r="N44" i="5" s="1"/>
  <c r="H40" i="5"/>
  <c r="H41" i="5" s="1"/>
  <c r="H42" i="5" s="1"/>
  <c r="H44" i="5" s="1"/>
  <c r="K40" i="5"/>
  <c r="K41" i="5" s="1"/>
  <c r="K42" i="5" s="1"/>
  <c r="K44" i="5" s="1"/>
  <c r="D56" i="5"/>
  <c r="H7" i="6" s="1"/>
  <c r="E40" i="5"/>
  <c r="C11" i="9"/>
  <c r="E11" i="9" s="1"/>
  <c r="F40" i="5"/>
  <c r="C17" i="9" l="1"/>
  <c r="E17" i="9" s="1"/>
  <c r="L47" i="5"/>
  <c r="L49" i="5"/>
  <c r="H47" i="5"/>
  <c r="H49" i="5"/>
  <c r="M47" i="5"/>
  <c r="M49" i="5"/>
  <c r="J47" i="5"/>
  <c r="J49" i="5"/>
  <c r="O48" i="5"/>
  <c r="N49" i="5" s="1"/>
  <c r="N47" i="5"/>
  <c r="G49" i="5"/>
  <c r="G47" i="5"/>
  <c r="E41" i="5"/>
  <c r="E42" i="5" s="1"/>
  <c r="E44" i="5" s="1"/>
  <c r="C12" i="9"/>
  <c r="E12" i="9" s="1"/>
  <c r="F41" i="5"/>
  <c r="F42" i="5" s="1"/>
  <c r="F44" i="5" s="1"/>
  <c r="I47" i="5"/>
  <c r="I49" i="5"/>
  <c r="K47" i="5"/>
  <c r="K49" i="5"/>
  <c r="F49" i="5" l="1"/>
  <c r="F47" i="5"/>
  <c r="E45" i="5"/>
  <c r="E47" i="5"/>
  <c r="E49" i="5"/>
  <c r="D58" i="5"/>
  <c r="K7" i="6" s="1"/>
  <c r="D53" i="5" l="1"/>
  <c r="C10" i="7" s="1"/>
  <c r="D54" i="5"/>
  <c r="F7" i="6" s="1"/>
  <c r="F45" i="5"/>
  <c r="E50" i="5"/>
  <c r="C25" i="7" l="1"/>
  <c r="C14" i="9"/>
  <c r="E14" i="9" s="1"/>
  <c r="C17" i="8"/>
  <c r="C18" i="9"/>
  <c r="E18" i="9" s="1"/>
  <c r="H44" i="8"/>
  <c r="E7" i="6"/>
  <c r="K44" i="8"/>
  <c r="C15" i="9"/>
  <c r="E15" i="9" s="1"/>
  <c r="F50" i="5"/>
  <c r="G45" i="5"/>
  <c r="G50" i="5" l="1"/>
  <c r="H45" i="5"/>
  <c r="I45" i="5" l="1"/>
  <c r="H50" i="5"/>
  <c r="I50" i="5" l="1"/>
  <c r="J45" i="5"/>
  <c r="J50" i="5" l="1"/>
  <c r="K45" i="5"/>
  <c r="K50" i="5" l="1"/>
  <c r="L45" i="5"/>
  <c r="L50" i="5" l="1"/>
  <c r="M45" i="5"/>
  <c r="M50" i="5" l="1"/>
  <c r="N45" i="5"/>
  <c r="N50" i="5" l="1"/>
  <c r="D55" i="5" s="1"/>
  <c r="C13" i="9"/>
  <c r="E13" i="9" s="1"/>
  <c r="G7" i="6" l="1"/>
  <c r="C16" i="9"/>
  <c r="E16" i="9" s="1"/>
  <c r="B3" i="9" s="1"/>
  <c r="B5" i="1" s="1"/>
</calcChain>
</file>

<file path=xl/sharedStrings.xml><?xml version="1.0" encoding="utf-8"?>
<sst xmlns="http://schemas.openxmlformats.org/spreadsheetml/2006/main" count="631" uniqueCount="467">
  <si>
    <t>Should Meta keep funding Reality Labs?</t>
  </si>
  <si>
    <t>A decision model built from Meta Platforms' SEC filings (CIK 0001326801).</t>
  </si>
  <si>
    <t>Latest filing used: 10-Q for the quarter to 30 Sep 2026, accession 0001628280-26-066773, filed 2026-10-22.</t>
  </si>
  <si>
    <t>NPV against stopping, by option and scenario</t>
  </si>
  <si>
    <t>Option</t>
  </si>
  <si>
    <t>Bear</t>
  </si>
  <si>
    <t>Base</t>
  </si>
  <si>
    <t>Bull</t>
  </si>
  <si>
    <t>Keep funding as planned</t>
  </si>
  <si>
    <t>AI glasses only, full budget</t>
  </si>
  <si>
    <t>AI glasses only, half budget, gate in 2028</t>
  </si>
  <si>
    <t>Stop Reality Labs</t>
  </si>
  <si>
    <t>Gated plan: bull-case chance needed to beat stopping</t>
  </si>
  <si>
    <t>Gate: AI-glasses growth needed a year, 2027-2031</t>
  </si>
  <si>
    <t>Stop if 2027 AI-glasses revenue is below</t>
  </si>
  <si>
    <t>Stop at the 2028 review if 2028 AI-glasses revenue is below</t>
  </si>
  <si>
    <t>Tripwire: quarterly operating loss above</t>
  </si>
  <si>
    <t>Operating losses reported, 2019 to 30 Sep 2026</t>
  </si>
  <si>
    <t>Discount rate</t>
  </si>
  <si>
    <t>How to use it</t>
  </si>
  <si>
    <t>Inputs: pick an option and a scenario (cells C5, C6); change any judgment, scenario value or the 'Set' column. Blue on light blue = from a filing; blue on yellow = a judgment.</t>
  </si>
  <si>
    <t>History: Reality Labs by quarter and year, every value next to the accession number of the filing that reports it. Lookback: what has been spent and what Meta said would happen.</t>
  </si>
  <si>
    <t>Model: the yearly cash flows of the case being run. Cases, Sensitivity and Gate are Excel data tables over the Model sheet; grey cells are their input cells, keep them blank.</t>
  </si>
  <si>
    <t>Checks: the integrity checks; the status line above reads them.</t>
  </si>
  <si>
    <t>Sources: SEC EDGAR only (data.sec.gov XBRL and the filing documents). Not investment advice.</t>
  </si>
  <si>
    <t>Inputs: facts from Meta's filings, and judgments</t>
  </si>
  <si>
    <t>Blue on light blue = from a filing (accession number given). Blue on yellow = a judgment, with the reason. Change a judgment, a scenario value or the 'Set' column and every sheet recalculates.</t>
  </si>
  <si>
    <t>What to run</t>
  </si>
  <si>
    <t>Option (1 keep as planned · 2 AI glasses only, full budget · 3 AI glasses only, half budget, gated · 4 stop)</t>
  </si>
  <si>
    <t>Scenario (1 bear · 2 base · 3 bull)</t>
  </si>
  <si>
    <t>Facts from the filings</t>
  </si>
  <si>
    <t>Fact</t>
  </si>
  <si>
    <t>Value</t>
  </si>
  <si>
    <t>Unit</t>
  </si>
  <si>
    <t>Form</t>
  </si>
  <si>
    <t>Accession</t>
  </si>
  <si>
    <t>XBRL concept or text</t>
  </si>
  <si>
    <t>Period</t>
  </si>
  <si>
    <t>Document</t>
  </si>
  <si>
    <t>Reality Labs revenue, nine months to 30 Sep 2026</t>
  </si>
  <si>
    <t>$</t>
  </si>
  <si>
    <t>10-Q</t>
  </si>
  <si>
    <t>0001628280-26-066773</t>
  </si>
  <si>
    <t>us-gaap:RevenueFromContractWithCustomerExcludingAssessedTax</t>
  </si>
  <si>
    <t>2026-01-01 to 2026-09-30</t>
  </si>
  <si>
    <t>https://www.sec.gov/Archives/edgar/data/1326801/000162828026066773/meta-20260930.htm</t>
  </si>
  <si>
    <t>Reality Labs operating loss, nine months to 30 Sep 2026</t>
  </si>
  <si>
    <t>us-gaap:OperatingIncomeLoss</t>
  </si>
  <si>
    <t>Reality Labs revenue, nine months to 30 Sep 2025</t>
  </si>
  <si>
    <t>0001628280-25-047240</t>
  </si>
  <si>
    <t>2025-01-01 to 2025-09-30</t>
  </si>
  <si>
    <t>https://www.sec.gov/Archives/edgar/data/1326801/000162828025047240/meta-20250930.htm</t>
  </si>
  <si>
    <t>Reality Labs operating loss, nine months to 30 Sep 2025</t>
  </si>
  <si>
    <t>Reality Labs revenue, 2025</t>
  </si>
  <si>
    <t>10-K</t>
  </si>
  <si>
    <t>0001628280-26-003942</t>
  </si>
  <si>
    <t>2025-01-01 to 2025-12-31</t>
  </si>
  <si>
    <t>https://www.sec.gov/Archives/edgar/data/1326801/000162828026003942/meta-20251231.htm</t>
  </si>
  <si>
    <t>Reality Labs operating loss, 2025</t>
  </si>
  <si>
    <t>Family of Apps operating income, 2025</t>
  </si>
  <si>
    <t>Share of 2026 Reality Labs operating expenses Meta expects to spend on wearables</t>
  </si>
  <si>
    <t>%</t>
  </si>
  <si>
    <t>text, Item 1 (Business)</t>
  </si>
  <si>
    <t>2026-01-01 to 2026-12-31</t>
  </si>
  <si>
    <t>U.S. federal statutory income tax rate</t>
  </si>
  <si>
    <t>us-gaap:EffectiveIncomeTaxRateReconciliationAtFederalStatutoryIncomeTaxRate</t>
  </si>
  <si>
    <t>Effective interest rate, Meta's November 2025 notes, lowest</t>
  </si>
  <si>
    <t>us-gaap:DebtInstrumentInterestRateEffectivePercentage, meta:November2025DebtMember, minimum</t>
  </si>
  <si>
    <t>at 2025-12-31</t>
  </si>
  <si>
    <t>Effective interest rate, Meta's November 2025 notes, highest</t>
  </si>
  <si>
    <t>us-gaap:DebtInstrumentInterestRateEffectivePercentage, meta:November2025DebtMember, maximum</t>
  </si>
  <si>
    <t>Apple Wearables, Home and Accessories net sales, fiscal 2025 (a size check, not a model input)</t>
  </si>
  <si>
    <t>0000320193-25-000079</t>
  </si>
  <si>
    <t>us-gaap:RevenueFromContractWithCustomerExcludingAssessedTax, product axis = aapl:WearablesHomeandAccessoriesMember</t>
  </si>
  <si>
    <t>2024-09-29 to 2025-09-27</t>
  </si>
  <si>
    <t>https://www.sec.gov/Archives/edgar/data/320193/000032019325000079/aapl-20250927.htm</t>
  </si>
  <si>
    <t>Segment values link to the History sheet, where each one sits next to its accession number. The 70% wearables share is quoted from the FY2025 10-K: In 2026, we expect to spend approximately 70% of our Reality Labs operating expenses on our wearables initiatives, and the remaining 30% on our VR and Horizon initiatives.</t>
  </si>
  <si>
    <t>Judgments (not in any filing)</t>
  </si>
  <si>
    <t>Judgment</t>
  </si>
  <si>
    <t>Basis</t>
  </si>
  <si>
    <t>Meta's newest notes (November 2025) carry effective rates of 4.27% to 5.77% (FY2025 10-K). That is the floor; a program that has never made a profit carries equity-like risk, so 10%. The tornado runs it from 8% to 12%.</t>
  </si>
  <si>
    <t>AI glasses' share of 2026 Reality Labs revenue</t>
  </si>
  <si>
    <t>Not disclosed. Six of the seven filings since Q1 2025 say the change came from AI glasses up and Meta Quest down (in Q3 2025 both rose), and the total barely moved (2025 +3%, first nine months of 2026 +2%), so the two lines are of similar size: half, tested from 30% to 70%.</t>
  </si>
  <si>
    <t>One-time wind-down cost, as a share of the stopped line's yearly costs</t>
  </si>
  <si>
    <t>Severance, contract exits and inventory: a quarter of a year's costs. The FY2025 10-K already booked losses on non-cancelable inventory purchase commitments for Reality Labs, so it is not zero. Tested from 10% to 50%.</t>
  </si>
  <si>
    <t>Yearly change in fixed spend</t>
  </si>
  <si>
    <t>The FY2025 10-K expects 2026 Reality Labs losses to stay similar to 2025; the model keeps spend flat after that. Tested at -5% and +5% a year.</t>
  </si>
  <si>
    <t>Gated plan: AI-glasses fixed spend, as a share of its 2026 level</t>
  </si>
  <si>
    <t>Half. In Q3 2026 Reality Labs employee pay was already 24% below a year earlier, so a deeper cut is under way. The model does not let a smaller budget slow growth; the gate is what catches that.</t>
  </si>
  <si>
    <t>Gated plan: years of funding before the go / stop review</t>
  </si>
  <si>
    <t>years</t>
  </si>
  <si>
    <t>Two years (2027 and 2028), decided on the FY2028 10-K in early 2029: two product cycles of AI glasses.</t>
  </si>
  <si>
    <t>Gate: contribution margin the growth test assumes</t>
  </si>
  <si>
    <t>The bull case's margin, the best one I can defend; with a lower margin the program needs faster growth to pass (the gate map shows the trade).</t>
  </si>
  <si>
    <t>Budget tripwire: overrun allowed on the gated plan's quarterly loss</t>
  </si>
  <si>
    <t>10% over the plan's quarterly operating loss, two quarters running.</t>
  </si>
  <si>
    <t>Scenarios (judgments)</t>
  </si>
  <si>
    <t>Driver</t>
  </si>
  <si>
    <t>AI-glasses revenue growth a year, 2027-2031</t>
  </si>
  <si>
    <t>AI-glasses revenue growth a year, 2027-2031, fading to the long-run rate by 2036. No glasses revenue is disclosed.</t>
  </si>
  <si>
    <t>Long-run growth (2036 and after)</t>
  </si>
  <si>
    <t>Long-run growth after 2036 (the fade target and the terminal value).</t>
  </si>
  <si>
    <t>Meta Quest revenue change a year</t>
  </si>
  <si>
    <t>Meta Quest revenue change a year, while VR is funded. Six of the seven filings since Q1 2025 name lower Quest sales.</t>
  </si>
  <si>
    <t>Contribution margin</t>
  </si>
  <si>
    <t>Contribution margin: what a dollar of Reality Labs sales leaves after the cost of making and selling it. Meta does not disclose Reality Labs cost of revenue.</t>
  </si>
  <si>
    <t>What each scenario means</t>
  </si>
  <si>
    <t>AI glasses stall near today's size, Quest keeps shrinking fast, and hardware sells near cost.</t>
  </si>
  <si>
    <t>AI glasses grow 35% a year for five years and then slow; Quest declines; margins are those of consumer hardware.</t>
  </si>
  <si>
    <t>AI glasses become a mass product, Quest holds, and software and services lift the margin.</t>
  </si>
  <si>
    <t>Drivers: live values, the tornado's low and high, and an override column</t>
  </si>
  <si>
    <t>Live = the value every sheet uses. 'Set' overrides the scenario or judgment value when filled (leave blank otherwise). The data tables on Cases, Sensitivity and Gate switch these values one case at a time.</t>
  </si>
  <si>
    <t>Live</t>
  </si>
  <si>
    <t>Key</t>
  </si>
  <si>
    <t>Tornado low</t>
  </si>
  <si>
    <t>Tornado high</t>
  </si>
  <si>
    <t>Set (override)</t>
  </si>
  <si>
    <t>Scenario / judgment value</t>
  </si>
  <si>
    <t>g1</t>
  </si>
  <si>
    <t>cm</t>
  </si>
  <si>
    <t>AI glasses' share of 2026 revenue</t>
  </si>
  <si>
    <t>s</t>
  </si>
  <si>
    <t>e</t>
  </si>
  <si>
    <t>r</t>
  </si>
  <si>
    <t>Long-run growth</t>
  </si>
  <si>
    <t>gT</t>
  </si>
  <si>
    <t>q</t>
  </si>
  <si>
    <t>Wearables' share of Reality Labs costs</t>
  </si>
  <si>
    <t>w</t>
  </si>
  <si>
    <t>Wind-down cost</t>
  </si>
  <si>
    <t>k</t>
  </si>
  <si>
    <t>Gated plan: glasses spend vs 2026</t>
  </si>
  <si>
    <t>cap</t>
  </si>
  <si>
    <t>The case being run (formulas)</t>
  </si>
  <si>
    <t>Option run</t>
  </si>
  <si>
    <t>Scenario run</t>
  </si>
  <si>
    <t>Funds AI glasses</t>
  </si>
  <si>
    <t>Funds VR and Horizon</t>
  </si>
  <si>
    <t>Glasses spend capped</t>
  </si>
  <si>
    <t>Gated</t>
  </si>
  <si>
    <t>Tax rate</t>
  </si>
  <si>
    <t>Gate year (years of funding before the review)</t>
  </si>
  <si>
    <t>Reality Labs, as Meta reports it</t>
  </si>
  <si>
    <t>Segment figures from Meta's 10-K and 10-Q XBRL (us-gaap:StatementBusinessSegmentsAxis = Reality Labs). Blue = value from the filing named in the accession column; black = formula. Q4 is not reported on its own: Q4 = full year − nine months.</t>
  </si>
  <si>
    <t>Full years (10-K)</t>
  </si>
  <si>
    <t>Year</t>
  </si>
  <si>
    <t>Revenue</t>
  </si>
  <si>
    <t>Operating income (loss)</t>
  </si>
  <si>
    <t>Employee pay (labor)</t>
  </si>
  <si>
    <t>Other costs</t>
  </si>
  <si>
    <t>Costs and expenses</t>
  </si>
  <si>
    <t>Accession (first filing)</t>
  </si>
  <si>
    <t>Family of Apps op. income</t>
  </si>
  <si>
    <t>0001326801-22-000018</t>
  </si>
  <si>
    <t>0001326801-23-000013</t>
  </si>
  <si>
    <t>0001326801-24-000012</t>
  </si>
  <si>
    <t>0001326801-25-000017</t>
  </si>
  <si>
    <t>Nine months to 30 September (Q3 10-Q)</t>
  </si>
  <si>
    <t>0001326801-22-000108</t>
  </si>
  <si>
    <t>0001326801-23-000103</t>
  </si>
  <si>
    <t>0001326801-24-000081</t>
  </si>
  <si>
    <t>Quarters (10-Q; Q4 derived)</t>
  </si>
  <si>
    <t>Quarter</t>
  </si>
  <si>
    <t>Ends</t>
  </si>
  <si>
    <t>Accession / derivation</t>
  </si>
  <si>
    <t>Revenue vs a year earlier</t>
  </si>
  <si>
    <t>Revenue, last 4 quarters</t>
  </si>
  <si>
    <t>Op. income, last 4 quarters</t>
  </si>
  <si>
    <t>Revenue − costs − op. income</t>
  </si>
  <si>
    <t>2021Q1</t>
  </si>
  <si>
    <t>2021-03-31</t>
  </si>
  <si>
    <t>0001326801-22-000057</t>
  </si>
  <si>
    <t>2021Q2</t>
  </si>
  <si>
    <t>2021-06-30</t>
  </si>
  <si>
    <t>0001326801-22-000082</t>
  </si>
  <si>
    <t>2021Q3</t>
  </si>
  <si>
    <t>2021-09-30</t>
  </si>
  <si>
    <t>2021Q4</t>
  </si>
  <si>
    <t>2021-12-31</t>
  </si>
  <si>
    <t>Q4 = full year − nine months</t>
  </si>
  <si>
    <t>2022Q1</t>
  </si>
  <si>
    <t>2022-03-31</t>
  </si>
  <si>
    <t>2022Q2</t>
  </si>
  <si>
    <t>2022-06-30</t>
  </si>
  <si>
    <t>2022Q3</t>
  </si>
  <si>
    <t>2022-09-30</t>
  </si>
  <si>
    <t>2022Q4</t>
  </si>
  <si>
    <t>2022-12-31</t>
  </si>
  <si>
    <t>2023Q1</t>
  </si>
  <si>
    <t>2023-03-31</t>
  </si>
  <si>
    <t>0001326801-23-000067</t>
  </si>
  <si>
    <t>2023Q2</t>
  </si>
  <si>
    <t>2023-06-30</t>
  </si>
  <si>
    <t>0001326801-23-000093</t>
  </si>
  <si>
    <t>2023Q3</t>
  </si>
  <si>
    <t>2023-09-30</t>
  </si>
  <si>
    <t>2023Q4</t>
  </si>
  <si>
    <t>2023-12-31</t>
  </si>
  <si>
    <t>2024Q1</t>
  </si>
  <si>
    <t>2024-03-31</t>
  </si>
  <si>
    <t>0001326801-24-000049</t>
  </si>
  <si>
    <t>2024Q2</t>
  </si>
  <si>
    <t>2024-06-30</t>
  </si>
  <si>
    <t>0001326801-24-000069</t>
  </si>
  <si>
    <t>2024Q3</t>
  </si>
  <si>
    <t>2024-09-30</t>
  </si>
  <si>
    <t>2024Q4</t>
  </si>
  <si>
    <t>2024-12-31</t>
  </si>
  <si>
    <t>2025Q1</t>
  </si>
  <si>
    <t>2025-03-31</t>
  </si>
  <si>
    <t>0001326801-25-000054</t>
  </si>
  <si>
    <t>2025Q2</t>
  </si>
  <si>
    <t>2025-06-30</t>
  </si>
  <si>
    <t>0001628280-25-036791</t>
  </si>
  <si>
    <t>2025Q3</t>
  </si>
  <si>
    <t>2025-09-30</t>
  </si>
  <si>
    <t>2025Q4</t>
  </si>
  <si>
    <t>2025-12-31</t>
  </si>
  <si>
    <t>2026Q1</t>
  </si>
  <si>
    <t>2026-03-31</t>
  </si>
  <si>
    <t>0001628280-26-028526</t>
  </si>
  <si>
    <t>2026Q2</t>
  </si>
  <si>
    <t>2026-06-30</t>
  </si>
  <si>
    <t>0001628280-26-050705</t>
  </si>
  <si>
    <t>2026Q3</t>
  </si>
  <si>
    <t>2026-09-30</t>
  </si>
  <si>
    <t>2026 estimate (the year is not over)</t>
  </si>
  <si>
    <t>Q4 2025 revenue</t>
  </si>
  <si>
    <t>full year − nine months</t>
  </si>
  <si>
    <t>Q4 2025 operating loss</t>
  </si>
  <si>
    <t>2026 revenue (estimate)</t>
  </si>
  <si>
    <t>nine months + Q4 2025 × (nine months 2026 ÷ nine months 2025)</t>
  </si>
  <si>
    <t>2026 operating loss (estimate)</t>
  </si>
  <si>
    <t>the same rule</t>
  </si>
  <si>
    <t>2026 costs and expenses (estimate)</t>
  </si>
  <si>
    <t>revenue − operating income</t>
  </si>
  <si>
    <t>2026 loss against 2025</t>
  </si>
  <si>
    <t>Meta's FY2025 10-K: '2026 RL operating losses to remain similar to 2025'</t>
  </si>
  <si>
    <t>What has been spent, and what Meta said would happen</t>
  </si>
  <si>
    <t>Operating losses as reported; after tax at the statutory rate; carried at the discount rate to 31 Dec 2026. This is accountability, not part of the forward decision (sunk costs do not enter the NPV).</t>
  </si>
  <si>
    <t>Operating loss</t>
  </si>
  <si>
    <t>After tax</t>
  </si>
  <si>
    <t>Carry factor</t>
  </si>
  <si>
    <t>Carried to 2026</t>
  </si>
  <si>
    <t>Revenue ÷ loss</t>
  </si>
  <si>
    <t>2019</t>
  </si>
  <si>
    <t>2020</t>
  </si>
  <si>
    <t>2021</t>
  </si>
  <si>
    <t>2022</t>
  </si>
  <si>
    <t>2023</t>
  </si>
  <si>
    <t>2024</t>
  </si>
  <si>
    <t>2025</t>
  </si>
  <si>
    <t>2026 (estimate)</t>
  </si>
  <si>
    <t>Total, 2019-2026</t>
  </si>
  <si>
    <t>Operating losses actually reported, 2019 to 30 Sep 2026</t>
  </si>
  <si>
    <t>Revenue actually reported, 2019 to 30 Sep 2026</t>
  </si>
  <si>
    <t>After-tax profit a year the money already spent should earn at the discount rate</t>
  </si>
  <si>
    <t>After-tax result, last four quarters</t>
  </si>
  <si>
    <t>Revenue, last four quarters</t>
  </si>
  <si>
    <t>Operating losses, 2022-2025 (the four years after revenue last grew)</t>
  </si>
  <si>
    <t>Revenue: 2025 against 2021</t>
  </si>
  <si>
    <t>Employee pay, Q3 2026 against Q3 2025</t>
  </si>
  <si>
    <t>Revenue, nine months 2026 against nine months 2025</t>
  </si>
  <si>
    <t>Operating loss, nine months 2026 against nine months 2025</t>
  </si>
  <si>
    <t>Reality Labs loss, 2025, as a share of Family of Apps operating income</t>
  </si>
  <si>
    <t>What each 10-K said about the next year, and what happened</t>
  </si>
  <si>
    <t>Filing</t>
  </si>
  <si>
    <t>For year</t>
  </si>
  <si>
    <t>Loss that year</t>
  </si>
  <si>
    <t>Change on the year before</t>
  </si>
  <si>
    <t>What the 10-K said (quoted)</t>
  </si>
  <si>
    <t>FY2021 10-K · 0001326801-22-000018</t>
  </si>
  <si>
    <t>For example, our investments in Reality Labs reduced our 2021 overall operating profit by approximately $10 billion, and we expect our investments to increase in future periods.</t>
  </si>
  <si>
    <t>FY2022 10-K · 0001326801-23-000013</t>
  </si>
  <si>
    <t>For example, our investments in Reality Labs reduced our 2022 overall operating profit by approximately $13.72 billion, and we expect our investments to increase in the future.</t>
  </si>
  <si>
    <t>FY2023 10-K · 0001326801-24-000012</t>
  </si>
  <si>
    <t>For example, our investments in Reality Labs reduced our 2023 overall operating profit by approximately $16.12 billion, and we expect our Reality Labs investments and operating losses to increase meaningfully in 2024.</t>
  </si>
  <si>
    <t>FY2024 10-K · 0001326801-25-000017</t>
  </si>
  <si>
    <t>For example, our investments in Reality Labs reduced our 2024 overall operating profit by approximately $17.73 billion, and we expect our Reality Labs investments and operating losses to increase in 2025.</t>
  </si>
  <si>
    <t>FY2025 10-K · 0001628280-26-003942</t>
  </si>
  <si>
    <t>nine months</t>
  </si>
  <si>
    <t>For example, our investments in Reality Labs reduced our 2025 overall operating profit by approximately $19.19 billion, and we expect our 2026 Reality Labs operating losses to remain similar to 2025.</t>
  </si>
  <si>
    <t>How each 10-K said the next year's Reality Labs spend would split</t>
  </si>
  <si>
    <t>For example, in 2023, we expect to spend approximately 50% of our Reality Labs operating expenses on our augmented reality initiatives, approximately 40% on our virtual reality initiatives, and approximately 10% on social platforms and other initiatives.</t>
  </si>
  <si>
    <t>For example, in 2024, we expect to spend approximately 50% of our Reality Labs operating expenses on our AR initiatives, approximately 40% on our VR (including MR) initiatives, and approximately 10% on social platforms and other initiatives.</t>
  </si>
  <si>
    <t>For example, in 2025, we expect to spend approximately 50% of our Reality Labs operating expenses on our wearables initiatives, and the remaining 50% on our metaverse initiatives.</t>
  </si>
  <si>
    <t>In 2026, we expect to spend approximately 70% of our Reality Labs operating expenses on our wearables initiatives, and the remaining 30% on our VR and Horizon initiatives.</t>
  </si>
  <si>
    <t>What each filing since 2025 said moved Reality Labs revenue</t>
  </si>
  <si>
    <t>10-Q 2025-03-31 · 0001326801-25-000054</t>
  </si>
  <si>
    <t>The decrease in RL revenue was driven by a net decrease in Meta Quest sales, partially offset by an increase in sales of Ray-Ban Meta AI glasses.</t>
  </si>
  <si>
    <t>10-Q 2025-06-30 · 0001628280-25-036791</t>
  </si>
  <si>
    <t>RL revenue in the three months ended June 30, 2025 increased $17 million, or 5%, compared to the same period in 2024, driven by an increase in sales of Ray-Ban Meta AI glasses, partially offset by a net decrease in Meta Quest sales.</t>
  </si>
  <si>
    <t>10-Q 2025-09-30 · 0001628280-25-047240</t>
  </si>
  <si>
    <t>RL revenue in the three months ended September 30, 2025 increased $200 million, or 74%, compared to the same period in 2024, mostly due to increases in sales of Meta Quest and AI glasses.</t>
  </si>
  <si>
    <t>10-K 2025-12-31 · 0001628280-26-003942</t>
  </si>
  <si>
    <t>The increase was driven by an increase in sales of AI glasses, partially offset by a decrease in Meta Quest sales.</t>
  </si>
  <si>
    <t>10-Q 2026-03-31 · 0001628280-26-028526</t>
  </si>
  <si>
    <t>The decrease was driven by lower Meta Quest sales, offset by an increase in sales of AI glasses.</t>
  </si>
  <si>
    <t>10-Q 2026-06-30 · 0001628280-26-050705</t>
  </si>
  <si>
    <t>The increases were driven by higher sales of AI glasses, partially offset by lower Meta Quest sales.</t>
  </si>
  <si>
    <t>10-Q 2026-09-30 · 0001628280-26-066773</t>
  </si>
  <si>
    <t>The decrease was driven by lower Meta Quest sales, partially offset by higher sales of AI glasses.</t>
  </si>
  <si>
    <t>The model: one case at a time</t>
  </si>
  <si>
    <t>Yearly cash flows 2027-2036 for the option and scenario on Inputs (or the case a data table asks for), against stopping Reality Labs in 2027. Valuation date 31 Dec 2026; flows at year end; after tax at the statutory rate.</t>
  </si>
  <si>
    <t>Running</t>
  </si>
  <si>
    <t>Terminal</t>
  </si>
  <si>
    <t>t</t>
  </si>
  <si>
    <t>Paths</t>
  </si>
  <si>
    <t>AI-glasses revenue growth</t>
  </si>
  <si>
    <t>g1 to 2031, then fades to gT</t>
  </si>
  <si>
    <t>AI-glasses revenue, if funded</t>
  </si>
  <si>
    <t>2026 = revenue × glasses share</t>
  </si>
  <si>
    <t>Meta Quest revenue, if funded</t>
  </si>
  <si>
    <t>2026 = revenue × (1 − share)</t>
  </si>
  <si>
    <t>Fixed spend, AI glasses (wearables)</t>
  </si>
  <si>
    <t>2026 = costs × w − variable cost</t>
  </si>
  <si>
    <t>Fixed spend, VR and Horizon</t>
  </si>
  <si>
    <t>2026 = costs × (1 − w) − variable</t>
  </si>
  <si>
    <t>This option, before the gate</t>
  </si>
  <si>
    <t>Revenue funded</t>
  </si>
  <si>
    <t>Contribution (revenue × margin)</t>
  </si>
  <si>
    <t>Fixed spend funded</t>
  </si>
  <si>
    <t>One-time wind-down</t>
  </si>
  <si>
    <t>2027: the lines this option stops</t>
  </si>
  <si>
    <t>After-tax cash flow</t>
  </si>
  <si>
    <t>(contribution − fixed − wind-down) × (1 − tax)</t>
  </si>
  <si>
    <t>Discount factor from the gate year</t>
  </si>
  <si>
    <t>Value of carrying on after the gate</t>
  </si>
  <si>
    <t>Value of stopping at the gate (wind-down)</t>
  </si>
  <si>
    <t>Carry on after the gate? (1 yes, 0 stop)</t>
  </si>
  <si>
    <t>Wind-down when an option starts (pre-tax)</t>
  </si>
  <si>
    <t>2026 costs, wearables (costs × w)</t>
  </si>
  <si>
    <t>2026 costs, VR and Horizon</t>
  </si>
  <si>
    <t>Funded this year (after the gate)</t>
  </si>
  <si>
    <t>1 = yes</t>
  </si>
  <si>
    <t>This option, as run</t>
  </si>
  <si>
    <t>Incremental revenue</t>
  </si>
  <si>
    <t>vs stopping</t>
  </si>
  <si>
    <t xml:space="preserve">  of which AI glasses</t>
  </si>
  <si>
    <t xml:space="preserve">  of which Meta Quest</t>
  </si>
  <si>
    <t>Contribution</t>
  </si>
  <si>
    <t>revenue × margin</t>
  </si>
  <si>
    <t>Fixed spend (the investment)</t>
  </si>
  <si>
    <t>Wind-down</t>
  </si>
  <si>
    <t>Pre-tax cash flow</t>
  </si>
  <si>
    <t>contribution − fixed − wind-down</t>
  </si>
  <si>
    <t>Tax effect</t>
  </si>
  <si>
    <t>Meta's other profits absorb the loss</t>
  </si>
  <si>
    <t>Stopping instead (after tax)</t>
  </si>
  <si>
    <t>wind-down of all of 2026's costs</t>
  </si>
  <si>
    <t>Incremental after-tax cash flow</t>
  </si>
  <si>
    <t>this option − stopping</t>
  </si>
  <si>
    <t>Cumulative</t>
  </si>
  <si>
    <t>Discount factor</t>
  </si>
  <si>
    <t>1 ÷ (1 + r)^t</t>
  </si>
  <si>
    <t>Present value</t>
  </si>
  <si>
    <t>Terminal value at end-2036 (only if 2036 is positive)</t>
  </si>
  <si>
    <t>2036 flow × (1 + gT) ÷ (r − gT)</t>
  </si>
  <si>
    <t>Flows for IRR</t>
  </si>
  <si>
    <t>incremental, terminal value in 2036</t>
  </si>
  <si>
    <t>Payback helper</t>
  </si>
  <si>
    <t>year if cumulative ≥ 0</t>
  </si>
  <si>
    <t>Results</t>
  </si>
  <si>
    <t>NPV at the discount rate, against stopping</t>
  </si>
  <si>
    <t>IRR</t>
  </si>
  <si>
    <t>Payback year (undiscounted, cumulative ≥ 0)</t>
  </si>
  <si>
    <t>Spend 2027-2036 (fixed + wind-down, pre-tax)</t>
  </si>
  <si>
    <t>Revenue in 2036</t>
  </si>
  <si>
    <t>Present value of the terminal value</t>
  </si>
  <si>
    <t>Four options × three scenarios</t>
  </si>
  <si>
    <t>An Excel data table runs the Model sheet once per case (input cell: CaseSel). NPV, IRR and payback are against stopping Reality Labs in 2027.</t>
  </si>
  <si>
    <t>CaseSel (data-table input; keep 0)</t>
  </si>
  <si>
    <t>Scenario</t>
  </si>
  <si>
    <t>Case</t>
  </si>
  <si>
    <t>NPV</t>
  </si>
  <si>
    <t>Payback</t>
  </si>
  <si>
    <t>Spend 2027-36</t>
  </si>
  <si>
    <t>Revenue 2036</t>
  </si>
  <si>
    <t>Carry on after gate</t>
  </si>
  <si>
    <t>PV of terminal value</t>
  </si>
  <si>
    <t>(data-table formula row)</t>
  </si>
  <si>
    <t>NPV by option and scenario</t>
  </si>
  <si>
    <t>The gated plan against stopping</t>
  </si>
  <si>
    <t>Average NPV if the bull case does not happen (bear and base equally likely)</t>
  </si>
  <si>
    <t>Chance the bull case needs for the gated plan to beat stopping</t>
  </si>
  <si>
    <t>Most the gated plan can lose (worst scenario NPV)</t>
  </si>
  <si>
    <t>Other numbers the memo quotes</t>
  </si>
  <si>
    <t>Yearly after-tax benefit from outside Reality Labs that would make 'AI glasses only, full budget' break even (base case, ten years)</t>
  </si>
  <si>
    <t>AI-glasses revenue in 2027 on the bull path</t>
  </si>
  <si>
    <t>Bull case 2036 AI-glasses revenue ÷ Apple's fiscal 2025 Wearables, Home and Accessories net sales</t>
  </si>
  <si>
    <t>Share of the bull case's NPV that comes after 2036 (PV of terminal value ÷ NPV)</t>
  </si>
  <si>
    <t>One-time cost of stopping Reality Labs, pre-tax (wind-down share × 2026 costs)</t>
  </si>
  <si>
    <t>Fixed spend of the AI-glasses program at the full 2026 budget, a year (base case)</t>
  </si>
  <si>
    <t>Fixed spend of the gated AI-glasses program in 2027 (base case)</t>
  </si>
  <si>
    <t>Which drivers matter, for keeping Reality Labs as planned</t>
  </si>
  <si>
    <t>Tornado: each driver at its low and high, others as in the base case, option 1 (keep as planned). Then a two-way table on the two drivers that move NPV most. Data-table input cells: TornPick, TornSide, SensA_x, SensA_y (keep as they are).</t>
  </si>
  <si>
    <t>TornPick (data-table input; keep 0)</t>
  </si>
  <si>
    <t>TornSide (data-table input; keep 1)</t>
  </si>
  <si>
    <t>SensA_x (e; keep blank)</t>
  </si>
  <si>
    <t>SensA_y (r; keep blank)</t>
  </si>
  <si>
    <t>#</t>
  </si>
  <si>
    <t>NPV at low</t>
  </si>
  <si>
    <t>NPV at high</t>
  </si>
  <si>
    <t>Low</t>
  </si>
  <si>
    <t>High</t>
  </si>
  <si>
    <t>Change at low</t>
  </si>
  <si>
    <t>Change at high</t>
  </si>
  <si>
    <t>Swing</t>
  </si>
  <si>
    <t>(data-table corner: NPV)</t>
  </si>
  <si>
    <t>AI-glasses growth, 2027-2031</t>
  </si>
  <si>
    <t>Base: keep as planned, base case (Cases)</t>
  </si>
  <si>
    <t>Largest swing</t>
  </si>
  <si>
    <t>Second-largest swing</t>
  </si>
  <si>
    <t>NPV of keeping Reality Labs as planned: Yearly change in fixed spend (down) × Discount rate (across)</t>
  </si>
  <si>
    <t>The gate and the stop conditions</t>
  </si>
  <si>
    <t>When the gated plan should stop, read off the model itself.</t>
  </si>
  <si>
    <t>Stop conditions for the gated plan (AI glasses only, half budget)</t>
  </si>
  <si>
    <t>Gate margin (contribution margin the growth test assumes)</t>
  </si>
  <si>
    <t>Index of the first grid point where carrying on beats stopping</t>
  </si>
  <si>
    <t>Growth needed, 2027-2031 (at the gate margin)</t>
  </si>
  <si>
    <t>AI-glasses revenue, 2026 estimate</t>
  </si>
  <si>
    <t>Base case 2027 operating loss of the gated program (pre-tax, before wind-down)</t>
  </si>
  <si>
    <t>Tripwire: stop if the quarterly operating loss is above this, two quarters running</t>
  </si>
  <si>
    <t>Growth needed is read off the gate curve below: a straight line between the two grid points around zero. The tripwire uses the base case's growth and margin.</t>
  </si>
  <si>
    <t>Gate map: the gated plan's NPV (left) and whether it carries on after 2028 (right, 1 = yes)</t>
  </si>
  <si>
    <t>Growth 2027-2031 down, contribution margin across; other inputs as in the base case.</t>
  </si>
  <si>
    <t>(data-table corners: NPV, carry on)</t>
  </si>
  <si>
    <t>Growth each option needs to break even (base case, other inputs as they are)</t>
  </si>
  <si>
    <t>Keep as planned</t>
  </si>
  <si>
    <t>Data-table input cells (keep blank)</t>
  </si>
  <si>
    <t>GateCurve_g</t>
  </si>
  <si>
    <t>GateMap_g</t>
  </si>
  <si>
    <t>GateMap_cm</t>
  </si>
  <si>
    <t>BeG1_g</t>
  </si>
  <si>
    <t>BeG2_g</t>
  </si>
  <si>
    <t>Curves (one-way data tables)</t>
  </si>
  <si>
    <t>Gate: value of carrying on − value of stopping (gated plan, gate margin)</t>
  </si>
  <si>
    <t>Growth</t>
  </si>
  <si>
    <t>Keep as planned: NPV</t>
  </si>
  <si>
    <t>Glasses only: NPV</t>
  </si>
  <si>
    <t>Integrity checks</t>
  </si>
  <si>
    <t>Each check is a difference that should be zero (or a condition that should hold). Status at the top.</t>
  </si>
  <si>
    <t>Check</t>
  </si>
  <si>
    <t>Difference</t>
  </si>
  <si>
    <t>Tolerance</t>
  </si>
  <si>
    <t>Result</t>
  </si>
  <si>
    <t>Reported quarters Q1+Q2+Q3 = nine months reported in the Q3 10-Q, revenue, 2021-2026 (separate XBRL facts; largest gap in a year, $; each is rounded to $1m)</t>
  </si>
  <si>
    <t>Reported quarters Q1+Q2+Q3 = nine months, operating income, 2021-2026 (largest gap in a year, $)</t>
  </si>
  <si>
    <t>Segment identity: revenue − employee pay − other costs = operating income (16 periods)</t>
  </si>
  <si>
    <t>Losses 2019 to Q3 2026: annual + nine months = 2019 + 2020 + every quarter (rounding of the separately reported quarters, $)</t>
  </si>
  <si>
    <t>2026 estimate: fixed + variable cost = 2026 costs and expenses</t>
  </si>
  <si>
    <t>2026 estimate within 10% of Meta's 'similar to 2025' (difference shown as a share)</t>
  </si>
  <si>
    <t>Model: revenue = AI glasses + Meta Quest, every year</t>
  </si>
  <si>
    <t>Model: pre-tax flow = contribution − fixed − wind-down, every year</t>
  </si>
  <si>
    <t>Model: cumulative 2036 = sum of incremental flows</t>
  </si>
  <si>
    <t>Model: NPV = Excel NPV() of the flows + PV of the terminal value</t>
  </si>
  <si>
    <t>Model: NPV at the IRR is zero (when there is an IRR)</t>
  </si>
  <si>
    <t>Model: payback year is the first with cumulative ≥ 0</t>
  </si>
  <si>
    <t>Model: when the gated plan carries on, the flows equal the ungated ones</t>
  </si>
  <si>
    <t>Cases: the data table's row for the case on Inputs = the Model sheet</t>
  </si>
  <si>
    <t>Cases: stopping is worth zero against itself in every scenario</t>
  </si>
  <si>
    <t>Sensitivity: centre of the two-way table = keep as planned, base case (when its two drivers are not overridden on Inputs)</t>
  </si>
  <si>
    <t>Sensitivity: the tornado's two largest swings are the drivers the two-way table uses</t>
  </si>
  <si>
    <t>Gate: where the growth test finds a crossing, it lies between two grid points of opposite sign</t>
  </si>
  <si>
    <t>Gate map: once the plan carries on at some growth and margin, it carries on at every higher growth and margin</t>
  </si>
  <si>
    <t>Break-even growth: the NPV curves rise with growth (so the crossing read off them is the only one)</t>
  </si>
  <si>
    <t>Data-table input cells are back at their resting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</si>
</sst>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quot;m&quot;;[Red]\-&quot;$&quot;#,##0,,&quot;m&quot;"/>
    <numFmt numFmtId="165" formatCode="0.0%"/>
    <numFmt numFmtId="166" formatCode="0.0000"/>
    <numFmt numFmtId="167" formatCode="&quot;$&quot;#,##0.00,,,&quot;bn&quot;;[Red]\-&quot;$&quot;#,##0.00,,,&quot;bn&quot;"/>
    <numFmt numFmtId="168" formatCode="&quot;$&quot;#,##0.0,,,&quot;bn&quot;;[Red]\-&quot;$&quot;#,##0.0,,,&quot;bn&quot;"/>
    <numFmt numFmtId="169" formatCode="0.000"/>
    <numFmt numFmtId="170" formatCode="0.000000"/>
    <numFmt numFmtId="171" formatCode=";;;"/>
  </numFmts>
  <fonts count="12" x14ac:knownFonts="1">
    <font>
      <sz val="11"/>
      <color theme="1"/>
      <name val="Calibri"/>
      <family val="2"/>
      <scheme val="minor"/>
    </font>
    <font>
      <b/>
      <sz val="14"/>
      <name val="Calibri"/>
    </font>
    <font>
      <i/>
      <sz val="11"/>
      <color rgb="FF4B5563"/>
      <name val="Calibri"/>
    </font>
    <font>
      <b/>
      <sz val="12"/>
      <name val="Calibri"/>
    </font>
    <font>
      <b/>
      <sz val="11"/>
      <color rgb="FFFFFFFF"/>
      <name val="Calibri"/>
    </font>
    <font>
      <sz val="11"/>
      <color rgb="FF1F4E9E"/>
      <name val="Calibri"/>
    </font>
    <font>
      <sz val="9"/>
      <color rgb="FF6B7280"/>
      <name val="Calibri"/>
    </font>
    <font>
      <sz val="8"/>
      <color rgb="FF9CA3AF"/>
      <name val="Calibri"/>
    </font>
    <font>
      <b/>
      <sz val="11"/>
      <name val="Calibri"/>
    </font>
    <font>
      <b/>
      <sz val="11"/>
      <name val="Calibri"/>
    </font>
    <font>
      <sz val="11"/>
      <name val="Calibri"/>
    </font>
    <font>
      <b/>
      <sz val="11"/>
      <color rgb="FF166534"/>
      <name val="Calibri"/>
    </font>
  </fonts>
  <fills count="6">
    <fill>
      <patternFill patternType="none"/>
    </fill>
    <fill>
      <patternFill patternType="gray125"/>
    </fill>
    <fill>
      <patternFill patternType="solid">
        <fgColor rgb="FF1F2937"/>
      </patternFill>
    </fill>
    <fill>
      <patternFill patternType="solid">
        <fgColor rgb="FFEAF2FF"/>
      </patternFill>
    </fill>
    <fill>
      <patternFill patternType="solid">
        <fgColor rgb="FFFFF7D6"/>
      </patternFill>
    </fill>
    <fill>
      <patternFill patternType="solid">
        <fgColor rgb="FFEEEEEE"/>
      </patternFill>
    </fill>
  </fills>
  <borders count="2">
    <border>
      <left/>
      <right/>
      <top/>
      <bottom/>
      <diagonal/>
    </border>
    <border>
      <left/>
      <right/>
      <top style="thin">
        <color rgb="FFD1D5DB"/>
      </top>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11" fillId="0" borderId="0" xfId="0" applyFont="1"/>
    <xf numFmtId="0" fontId="3" fillId="0" borderId="0" xfId="0" applyFont="1"/>
    <xf numFmtId="0" fontId="4" fillId="2" borderId="0" xfId="0" applyFont="1" applyFill="1" applyAlignment="1">
      <alignment horizontal="center" vertical="center" wrapText="1"/>
    </xf>
    <xf numFmtId="168" fontId="0" fillId="0" borderId="0" xfId="0" applyNumberFormat="1"/>
    <xf numFmtId="165" fontId="0" fillId="0" borderId="0" xfId="0" applyNumberFormat="1"/>
    <xf numFmtId="167" fontId="0" fillId="0" borderId="0" xfId="0" applyNumberFormat="1"/>
    <xf numFmtId="0" fontId="5" fillId="4" borderId="0" xfId="0" applyFont="1" applyFill="1"/>
    <xf numFmtId="0" fontId="6" fillId="0" borderId="0" xfId="0" applyFont="1"/>
    <xf numFmtId="164" fontId="5" fillId="3" borderId="0" xfId="0" applyNumberFormat="1" applyFont="1" applyFill="1"/>
    <xf numFmtId="10" fontId="5" fillId="3" borderId="0" xfId="0" applyNumberFormat="1" applyFont="1" applyFill="1"/>
    <xf numFmtId="165" fontId="5" fillId="4" borderId="0" xfId="0" applyNumberFormat="1" applyFont="1" applyFill="1"/>
    <xf numFmtId="0" fontId="6" fillId="0" borderId="0" xfId="0" applyFont="1" applyAlignment="1">
      <alignment vertical="top" wrapText="1"/>
    </xf>
    <xf numFmtId="1" fontId="5" fillId="4" borderId="0" xfId="0" applyNumberFormat="1" applyFont="1" applyFill="1"/>
    <xf numFmtId="165" fontId="8" fillId="0" borderId="0" xfId="0" applyNumberFormat="1" applyFont="1"/>
    <xf numFmtId="0" fontId="7" fillId="0" borderId="0" xfId="0" applyFont="1"/>
    <xf numFmtId="165" fontId="0" fillId="4" borderId="0" xfId="0" applyNumberFormat="1" applyFill="1"/>
    <xf numFmtId="164" fontId="0" fillId="0" borderId="0" xfId="0" applyNumberFormat="1"/>
    <xf numFmtId="3" fontId="0" fillId="0" borderId="0" xfId="0" applyNumberFormat="1"/>
    <xf numFmtId="169" fontId="0" fillId="0" borderId="0" xfId="0" applyNumberFormat="1"/>
    <xf numFmtId="2" fontId="0" fillId="0" borderId="0" xfId="0" applyNumberFormat="1"/>
    <xf numFmtId="0" fontId="8" fillId="0" borderId="0" xfId="0" applyFont="1"/>
    <xf numFmtId="164" fontId="8" fillId="0" borderId="0" xfId="0" applyNumberFormat="1" applyFont="1"/>
    <xf numFmtId="0" fontId="9" fillId="0" borderId="0" xfId="0" applyFont="1"/>
    <xf numFmtId="0" fontId="10" fillId="0" borderId="0" xfId="0" applyFont="1"/>
    <xf numFmtId="166" fontId="0" fillId="0" borderId="0" xfId="0" applyNumberFormat="1"/>
    <xf numFmtId="1" fontId="0" fillId="0" borderId="0" xfId="0" applyNumberFormat="1"/>
    <xf numFmtId="167" fontId="8" fillId="0" borderId="0" xfId="0" applyNumberFormat="1" applyFont="1"/>
    <xf numFmtId="1" fontId="8" fillId="0" borderId="0" xfId="0" applyNumberFormat="1" applyFont="1"/>
    <xf numFmtId="0" fontId="0" fillId="5" borderId="0" xfId="0" applyFill="1"/>
    <xf numFmtId="171" fontId="7" fillId="0" borderId="0" xfId="0" applyNumberFormat="1" applyFont="1"/>
    <xf numFmtId="0" fontId="0" fillId="0" borderId="1" xfId="0" applyBorder="1"/>
    <xf numFmtId="167" fontId="0" fillId="0" borderId="1" xfId="0" applyNumberFormat="1" applyBorder="1"/>
    <xf numFmtId="165" fontId="0" fillId="0" borderId="1" xfId="0" applyNumberFormat="1" applyBorder="1"/>
    <xf numFmtId="1" fontId="0" fillId="0" borderId="1" xfId="0" applyNumberFormat="1" applyBorder="1"/>
    <xf numFmtId="10" fontId="0" fillId="0" borderId="0" xfId="0" applyNumberFormat="1"/>
    <xf numFmtId="170" fontId="0" fillId="0" borderId="0" xfId="0" applyNumberFormat="1"/>
    <xf numFmtId="0" fontId="0" fillId="0" borderId="0" xfId="0" applyAlignment="1">
      <alignment vertical="top" wrapText="1"/>
    </xf>
    <xf numFmtId="0" fontId="0" fillId="0" borderId="0" xfId="0"/>
    <xf numFmtId="0" fontId="6" fillId="0" borderId="0" xfId="0" applyFont="1" applyAlignment="1">
      <alignment vertical="top" wrapText="1"/>
    </xf>
    <xf numFmtId="0" fontId="0" fillId="0" borderId="0" xfId="0" applyAlignment="1">
      <alignment wrapText="1"/>
    </xf>
  </cellXfs>
  <cellStyles count="1">
    <cellStyle name="Normal" xfId="0" builtinId="0"/>
  </cellStyles>
  <dxfs count="9">
    <dxf>
      <fill>
        <patternFill patternType="solid">
          <fgColor rgb="FFDCFCE7"/>
        </patternFill>
      </fill>
    </dxf>
    <dxf>
      <fill>
        <patternFill patternType="solid">
          <fgColor rgb="FFFDE2E2"/>
        </patternFill>
      </fill>
    </dxf>
    <dxf>
      <fill>
        <patternFill patternType="solid">
          <fgColor rgb="FFDCFCE7"/>
        </patternFill>
      </fill>
    </dxf>
    <dxf>
      <fill>
        <patternFill patternType="solid">
          <fgColor rgb="FFDCFCE7"/>
        </patternFill>
      </fill>
    </dxf>
    <dxf>
      <fill>
        <patternFill patternType="solid">
          <fgColor rgb="FFFDE2E2"/>
        </patternFill>
      </fill>
    </dxf>
    <dxf>
      <fill>
        <patternFill patternType="solid">
          <fgColor rgb="FFDCFCE7"/>
        </patternFill>
      </fill>
    </dxf>
    <dxf>
      <fill>
        <patternFill patternType="solid">
          <fgColor rgb="FFFDE2E2"/>
        </patternFill>
      </fill>
    </dxf>
    <dxf>
      <fill>
        <patternFill patternType="solid">
          <fgColor rgb="FFDCFCE7"/>
        </patternFill>
      </fill>
    </dxf>
    <dxf>
      <fill>
        <patternFill patternType="solid">
          <fgColor rgb="FFFD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7"/>
  <sheetViews>
    <sheetView tabSelected="1" workbookViewId="0"/>
  </sheetViews>
  <sheetFormatPr defaultRowHeight="14.25" x14ac:dyDescent="0.45"/>
  <cols>
    <col min="1" max="1" width="2" customWidth="1"/>
    <col min="2" max="2" width="60" customWidth="1"/>
    <col min="3" max="7" width="16" customWidth="1"/>
  </cols>
  <sheetData>
    <row r="1" spans="2:5" ht="18" x14ac:dyDescent="0.55000000000000004">
      <c r="B1" s="1" t="s">
        <v>0</v>
      </c>
    </row>
    <row r="2" spans="2:5" x14ac:dyDescent="0.45">
      <c r="B2" s="2" t="s">
        <v>1</v>
      </c>
    </row>
    <row r="3" spans="2:5" x14ac:dyDescent="0.45">
      <c r="B3" s="2" t="s">
        <v>2</v>
      </c>
    </row>
    <row r="5" spans="2:5" x14ac:dyDescent="0.45">
      <c r="B5" s="3" t="str">
        <f>CheckStatus</f>
        <v>All 21 checks OK</v>
      </c>
    </row>
    <row r="7" spans="2:5" ht="15.75" x14ac:dyDescent="0.5">
      <c r="B7" s="4" t="s">
        <v>3</v>
      </c>
    </row>
    <row r="8" spans="2:5" x14ac:dyDescent="0.45">
      <c r="B8" s="5" t="s">
        <v>4</v>
      </c>
      <c r="C8" s="5" t="s">
        <v>5</v>
      </c>
      <c r="D8" s="5" t="s">
        <v>6</v>
      </c>
      <c r="E8" s="5" t="s">
        <v>7</v>
      </c>
    </row>
    <row r="9" spans="2:5" x14ac:dyDescent="0.45">
      <c r="B9" t="s">
        <v>8</v>
      </c>
      <c r="C9" s="6">
        <f>Cases!C23</f>
        <v>-86711796506.052689</v>
      </c>
      <c r="D9" s="6">
        <f>Cases!D23</f>
        <v>-83332685163.230789</v>
      </c>
      <c r="E9" s="6">
        <f>Cases!E23</f>
        <v>-59042473794.445778</v>
      </c>
    </row>
    <row r="10" spans="2:5" x14ac:dyDescent="0.45">
      <c r="B10" t="s">
        <v>9</v>
      </c>
      <c r="C10" s="6">
        <f>Cases!C24</f>
        <v>-62517558324.572433</v>
      </c>
      <c r="D10" s="6">
        <f>Cases!D24</f>
        <v>-58997032409.089783</v>
      </c>
      <c r="E10" s="6">
        <f>Cases!E24</f>
        <v>-17341635208.88739</v>
      </c>
    </row>
    <row r="11" spans="2:5" x14ac:dyDescent="0.45">
      <c r="B11" t="s">
        <v>10</v>
      </c>
      <c r="C11" s="6">
        <f>Cases!C25</f>
        <v>-8913583014.116024</v>
      </c>
      <c r="D11" s="6">
        <f>Cases!D25</f>
        <v>-8682652642.8554955</v>
      </c>
      <c r="E11" s="6">
        <f>Cases!E25</f>
        <v>51362195620.426712</v>
      </c>
    </row>
    <row r="12" spans="2:5" x14ac:dyDescent="0.45">
      <c r="B12" t="s">
        <v>11</v>
      </c>
      <c r="C12" s="6">
        <f>Cases!C26</f>
        <v>0</v>
      </c>
      <c r="D12" s="6">
        <f>Cases!D26</f>
        <v>0</v>
      </c>
      <c r="E12" s="6">
        <f>Cases!E26</f>
        <v>0</v>
      </c>
    </row>
    <row r="14" spans="2:5" x14ac:dyDescent="0.45">
      <c r="B14" t="s">
        <v>12</v>
      </c>
      <c r="C14" s="7">
        <f>BreakevenP</f>
        <v>0.146244547677715</v>
      </c>
    </row>
    <row r="15" spans="2:5" x14ac:dyDescent="0.45">
      <c r="B15" t="s">
        <v>13</v>
      </c>
      <c r="C15" s="7">
        <f>GStar</f>
        <v>0.55148927685872162</v>
      </c>
    </row>
    <row r="16" spans="2:5" x14ac:dyDescent="0.45">
      <c r="B16" t="s">
        <v>14</v>
      </c>
      <c r="C16" s="8">
        <f>GateEarly</f>
        <v>1744887619.8956492</v>
      </c>
    </row>
    <row r="17" spans="2:7" x14ac:dyDescent="0.45">
      <c r="B17" t="s">
        <v>15</v>
      </c>
      <c r="C17" s="8">
        <f>GateR</f>
        <v>2707174431.5916367</v>
      </c>
    </row>
    <row r="18" spans="2:7" x14ac:dyDescent="0.45">
      <c r="B18" t="s">
        <v>16</v>
      </c>
      <c r="C18" s="8">
        <f>TripQ</f>
        <v>1801062828.9996502</v>
      </c>
    </row>
    <row r="19" spans="2:7" x14ac:dyDescent="0.45">
      <c r="B19" t="s">
        <v>17</v>
      </c>
      <c r="C19" s="6">
        <f>LbActual</f>
        <v>-100853000000</v>
      </c>
    </row>
    <row r="20" spans="2:7" x14ac:dyDescent="0.45">
      <c r="B20" t="s">
        <v>18</v>
      </c>
      <c r="C20" s="7">
        <f>L_r</f>
        <v>0.1</v>
      </c>
    </row>
    <row r="22" spans="2:7" ht="15.75" x14ac:dyDescent="0.5">
      <c r="B22" s="4" t="s">
        <v>19</v>
      </c>
    </row>
    <row r="23" spans="2:7" ht="32" customHeight="1" x14ac:dyDescent="0.45">
      <c r="B23" s="39" t="s">
        <v>20</v>
      </c>
      <c r="C23" s="40"/>
      <c r="D23" s="40"/>
      <c r="E23" s="40"/>
      <c r="F23" s="40"/>
      <c r="G23" s="40"/>
    </row>
    <row r="24" spans="2:7" ht="32" customHeight="1" x14ac:dyDescent="0.45">
      <c r="B24" s="39" t="s">
        <v>21</v>
      </c>
      <c r="C24" s="40"/>
      <c r="D24" s="40"/>
      <c r="E24" s="40"/>
      <c r="F24" s="40"/>
      <c r="G24" s="40"/>
    </row>
    <row r="25" spans="2:7" ht="32" customHeight="1" x14ac:dyDescent="0.45">
      <c r="B25" s="39" t="s">
        <v>22</v>
      </c>
      <c r="C25" s="40"/>
      <c r="D25" s="40"/>
      <c r="E25" s="40"/>
      <c r="F25" s="40"/>
      <c r="G25" s="40"/>
    </row>
    <row r="26" spans="2:7" ht="32" customHeight="1" x14ac:dyDescent="0.45">
      <c r="B26" s="39" t="s">
        <v>23</v>
      </c>
      <c r="C26" s="40"/>
      <c r="D26" s="40"/>
      <c r="E26" s="40"/>
      <c r="F26" s="40"/>
      <c r="G26" s="40"/>
    </row>
    <row r="27" spans="2:7" ht="32" customHeight="1" x14ac:dyDescent="0.45">
      <c r="B27" s="39" t="s">
        <v>24</v>
      </c>
      <c r="C27" s="40"/>
      <c r="D27" s="40"/>
      <c r="E27" s="40"/>
      <c r="F27" s="40"/>
      <c r="G27" s="40"/>
    </row>
  </sheetData>
  <mergeCells count="5">
    <mergeCell ref="B24:G24"/>
    <mergeCell ref="B23:G23"/>
    <mergeCell ref="B27:G27"/>
    <mergeCell ref="B26:G26"/>
    <mergeCell ref="B25:G25"/>
  </mergeCells>
  <conditionalFormatting sqref="C9:E12">
    <cfRule type="cellIs" dxfId="8" priority="1" operator="lessThan">
      <formula>0</formula>
    </cfRule>
    <cfRule type="cellIs" dxfId="7" priority="2" operator="greaterThan">
      <formula>0</formula>
    </cfRule>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66"/>
  <sheetViews>
    <sheetView workbookViewId="0">
      <pane xSplit="2" ySplit="3" topLeftCell="C4" activePane="bottomRight" state="frozen"/>
      <selection pane="topRight"/>
      <selection pane="bottomLeft"/>
      <selection pane="bottomRight"/>
    </sheetView>
  </sheetViews>
  <sheetFormatPr defaultRowHeight="14.25" x14ac:dyDescent="0.45"/>
  <cols>
    <col min="1" max="1" width="2" customWidth="1"/>
    <col min="2" max="2" width="52" customWidth="1"/>
    <col min="3" max="3" width="14" customWidth="1"/>
    <col min="4" max="4" width="8" customWidth="1"/>
    <col min="5" max="5" width="12" customWidth="1"/>
    <col min="6" max="6" width="24" customWidth="1"/>
    <col min="7" max="7" width="60" customWidth="1"/>
    <col min="8" max="8" width="22" customWidth="1"/>
    <col min="9" max="9" width="40" customWidth="1"/>
  </cols>
  <sheetData>
    <row r="1" spans="2:9" ht="18" x14ac:dyDescent="0.55000000000000004">
      <c r="B1" s="1" t="s">
        <v>25</v>
      </c>
    </row>
    <row r="2" spans="2:9" x14ac:dyDescent="0.45">
      <c r="B2" s="2" t="s">
        <v>26</v>
      </c>
    </row>
    <row r="4" spans="2:9" ht="15.75" x14ac:dyDescent="0.5">
      <c r="B4" s="4" t="s">
        <v>27</v>
      </c>
    </row>
    <row r="5" spans="2:9" x14ac:dyDescent="0.45">
      <c r="B5" t="s">
        <v>28</v>
      </c>
      <c r="C5" s="9">
        <v>3</v>
      </c>
      <c r="D5" s="10" t="str">
        <f>CHOOSE(OptEff,"Keep funding as planned","AI glasses only, full budget","AI glasses only, half budget, gate in 2028","Stop Reality Labs")</f>
        <v>AI glasses only, half budget, gate in 2028</v>
      </c>
    </row>
    <row r="6" spans="2:9" x14ac:dyDescent="0.45">
      <c r="B6" t="s">
        <v>29</v>
      </c>
      <c r="C6" s="9">
        <v>2</v>
      </c>
      <c r="D6" s="10" t="str">
        <f>CHOOSE(ScnEff,"Bear","Base","Bull")</f>
        <v>Base</v>
      </c>
    </row>
    <row r="9" spans="2:9" ht="15.75" x14ac:dyDescent="0.5">
      <c r="B9" s="4" t="s">
        <v>30</v>
      </c>
    </row>
    <row r="10" spans="2:9" x14ac:dyDescent="0.45">
      <c r="B10" s="5" t="s">
        <v>31</v>
      </c>
      <c r="C10" s="5" t="s">
        <v>32</v>
      </c>
      <c r="D10" s="5" t="s">
        <v>33</v>
      </c>
      <c r="E10" s="5" t="s">
        <v>34</v>
      </c>
      <c r="F10" s="5" t="s">
        <v>35</v>
      </c>
      <c r="G10" s="5" t="s">
        <v>36</v>
      </c>
      <c r="H10" s="5" t="s">
        <v>37</v>
      </c>
      <c r="I10" s="5" t="s">
        <v>38</v>
      </c>
    </row>
    <row r="11" spans="2:9" x14ac:dyDescent="0.45">
      <c r="B11" t="s">
        <v>39</v>
      </c>
      <c r="C11" s="11">
        <f>History!D21</f>
        <v>1276000000</v>
      </c>
      <c r="D11" s="10" t="s">
        <v>40</v>
      </c>
      <c r="E11" s="10" t="s">
        <v>41</v>
      </c>
      <c r="F11" s="10" t="s">
        <v>42</v>
      </c>
      <c r="G11" s="10" t="s">
        <v>43</v>
      </c>
      <c r="H11" s="10" t="s">
        <v>44</v>
      </c>
      <c r="I11" s="10" t="s">
        <v>45</v>
      </c>
    </row>
    <row r="12" spans="2:9" x14ac:dyDescent="0.45">
      <c r="B12" t="s">
        <v>46</v>
      </c>
      <c r="C12" s="11">
        <f>History!E21</f>
        <v>-12775000000</v>
      </c>
      <c r="D12" s="10" t="s">
        <v>40</v>
      </c>
      <c r="E12" s="10" t="s">
        <v>41</v>
      </c>
      <c r="F12" s="10" t="s">
        <v>42</v>
      </c>
      <c r="G12" s="10" t="s">
        <v>47</v>
      </c>
      <c r="H12" s="10" t="s">
        <v>44</v>
      </c>
      <c r="I12" s="10" t="s">
        <v>45</v>
      </c>
    </row>
    <row r="13" spans="2:9" x14ac:dyDescent="0.45">
      <c r="B13" t="s">
        <v>48</v>
      </c>
      <c r="C13" s="11">
        <f>History!D20</f>
        <v>1252000000</v>
      </c>
      <c r="D13" s="10" t="s">
        <v>40</v>
      </c>
      <c r="E13" s="10" t="s">
        <v>41</v>
      </c>
      <c r="F13" s="10" t="s">
        <v>49</v>
      </c>
      <c r="G13" s="10" t="s">
        <v>43</v>
      </c>
      <c r="H13" s="10" t="s">
        <v>50</v>
      </c>
      <c r="I13" s="10" t="s">
        <v>51</v>
      </c>
    </row>
    <row r="14" spans="2:9" x14ac:dyDescent="0.45">
      <c r="B14" t="s">
        <v>52</v>
      </c>
      <c r="C14" s="11">
        <f>History!E20</f>
        <v>-13171000000</v>
      </c>
      <c r="D14" s="10" t="s">
        <v>40</v>
      </c>
      <c r="E14" s="10" t="s">
        <v>41</v>
      </c>
      <c r="F14" s="10" t="s">
        <v>49</v>
      </c>
      <c r="G14" s="10" t="s">
        <v>47</v>
      </c>
      <c r="H14" s="10" t="s">
        <v>50</v>
      </c>
      <c r="I14" s="10" t="s">
        <v>51</v>
      </c>
    </row>
    <row r="15" spans="2:9" x14ac:dyDescent="0.45">
      <c r="B15" t="s">
        <v>53</v>
      </c>
      <c r="C15" s="11">
        <f>History!D12</f>
        <v>2207000000</v>
      </c>
      <c r="D15" s="10" t="s">
        <v>40</v>
      </c>
      <c r="E15" s="10" t="s">
        <v>54</v>
      </c>
      <c r="F15" s="10" t="s">
        <v>55</v>
      </c>
      <c r="G15" s="10" t="s">
        <v>43</v>
      </c>
      <c r="H15" s="10" t="s">
        <v>56</v>
      </c>
      <c r="I15" s="10" t="s">
        <v>57</v>
      </c>
    </row>
    <row r="16" spans="2:9" x14ac:dyDescent="0.45">
      <c r="B16" t="s">
        <v>58</v>
      </c>
      <c r="C16" s="11">
        <f>History!E12</f>
        <v>-19193000000</v>
      </c>
      <c r="D16" s="10" t="s">
        <v>40</v>
      </c>
      <c r="E16" s="10" t="s">
        <v>54</v>
      </c>
      <c r="F16" s="10" t="s">
        <v>55</v>
      </c>
      <c r="G16" s="10" t="s">
        <v>47</v>
      </c>
      <c r="H16" s="10" t="s">
        <v>56</v>
      </c>
      <c r="I16" s="10" t="s">
        <v>57</v>
      </c>
    </row>
    <row r="17" spans="2:9" x14ac:dyDescent="0.45">
      <c r="B17" t="s">
        <v>59</v>
      </c>
      <c r="C17" s="11">
        <f>History!K12</f>
        <v>102469000000</v>
      </c>
      <c r="D17" s="10" t="s">
        <v>40</v>
      </c>
      <c r="E17" s="10" t="s">
        <v>54</v>
      </c>
      <c r="F17" s="10" t="s">
        <v>55</v>
      </c>
      <c r="G17" s="10" t="s">
        <v>47</v>
      </c>
      <c r="H17" s="10" t="s">
        <v>56</v>
      </c>
      <c r="I17" s="10" t="s">
        <v>57</v>
      </c>
    </row>
    <row r="18" spans="2:9" x14ac:dyDescent="0.45">
      <c r="B18" t="s">
        <v>60</v>
      </c>
      <c r="C18" s="12">
        <v>0.7</v>
      </c>
      <c r="D18" s="10" t="s">
        <v>61</v>
      </c>
      <c r="E18" s="10" t="s">
        <v>54</v>
      </c>
      <c r="F18" s="10" t="s">
        <v>55</v>
      </c>
      <c r="G18" s="10" t="s">
        <v>62</v>
      </c>
      <c r="H18" s="10" t="s">
        <v>63</v>
      </c>
      <c r="I18" s="10" t="s">
        <v>57</v>
      </c>
    </row>
    <row r="19" spans="2:9" x14ac:dyDescent="0.45">
      <c r="B19" t="s">
        <v>64</v>
      </c>
      <c r="C19" s="12">
        <v>0.21</v>
      </c>
      <c r="D19" s="10" t="s">
        <v>61</v>
      </c>
      <c r="E19" s="10" t="s">
        <v>54</v>
      </c>
      <c r="F19" s="10" t="s">
        <v>55</v>
      </c>
      <c r="G19" s="10" t="s">
        <v>65</v>
      </c>
      <c r="H19" s="10" t="s">
        <v>56</v>
      </c>
      <c r="I19" s="10" t="s">
        <v>57</v>
      </c>
    </row>
    <row r="20" spans="2:9" x14ac:dyDescent="0.45">
      <c r="B20" t="s">
        <v>66</v>
      </c>
      <c r="C20" s="12">
        <v>4.2700000000000002E-2</v>
      </c>
      <c r="D20" s="10" t="s">
        <v>61</v>
      </c>
      <c r="E20" s="10" t="s">
        <v>54</v>
      </c>
      <c r="F20" s="10" t="s">
        <v>55</v>
      </c>
      <c r="G20" s="10" t="s">
        <v>67</v>
      </c>
      <c r="H20" s="10" t="s">
        <v>68</v>
      </c>
      <c r="I20" s="10" t="s">
        <v>57</v>
      </c>
    </row>
    <row r="21" spans="2:9" x14ac:dyDescent="0.45">
      <c r="B21" t="s">
        <v>69</v>
      </c>
      <c r="C21" s="12">
        <v>5.7700000000000001E-2</v>
      </c>
      <c r="D21" s="10" t="s">
        <v>61</v>
      </c>
      <c r="E21" s="10" t="s">
        <v>54</v>
      </c>
      <c r="F21" s="10" t="s">
        <v>55</v>
      </c>
      <c r="G21" s="10" t="s">
        <v>70</v>
      </c>
      <c r="H21" s="10" t="s">
        <v>68</v>
      </c>
      <c r="I21" s="10" t="s">
        <v>57</v>
      </c>
    </row>
    <row r="22" spans="2:9" x14ac:dyDescent="0.45">
      <c r="B22" t="s">
        <v>71</v>
      </c>
      <c r="C22" s="11">
        <v>35686000000</v>
      </c>
      <c r="D22" s="10" t="s">
        <v>40</v>
      </c>
      <c r="E22" s="10" t="s">
        <v>54</v>
      </c>
      <c r="F22" s="10" t="s">
        <v>72</v>
      </c>
      <c r="G22" s="10" t="s">
        <v>73</v>
      </c>
      <c r="H22" s="10" t="s">
        <v>74</v>
      </c>
      <c r="I22" s="10" t="s">
        <v>75</v>
      </c>
    </row>
    <row r="23" spans="2:9" x14ac:dyDescent="0.45">
      <c r="B23" s="10" t="s">
        <v>76</v>
      </c>
    </row>
    <row r="25" spans="2:9" ht="15.75" x14ac:dyDescent="0.5">
      <c r="B25" s="4" t="s">
        <v>77</v>
      </c>
    </row>
    <row r="26" spans="2:9" x14ac:dyDescent="0.45">
      <c r="B26" s="5" t="s">
        <v>78</v>
      </c>
      <c r="C26" s="5" t="s">
        <v>32</v>
      </c>
      <c r="D26" s="5" t="s">
        <v>33</v>
      </c>
      <c r="E26" s="5" t="s">
        <v>79</v>
      </c>
    </row>
    <row r="27" spans="2:9" ht="30" customHeight="1" x14ac:dyDescent="0.45">
      <c r="B27" t="s">
        <v>18</v>
      </c>
      <c r="C27" s="13">
        <v>0.1</v>
      </c>
      <c r="D27" s="10" t="s">
        <v>61</v>
      </c>
      <c r="E27" s="41" t="s">
        <v>80</v>
      </c>
      <c r="F27" s="40"/>
      <c r="G27" s="40"/>
      <c r="H27" s="40"/>
      <c r="I27" s="40"/>
    </row>
    <row r="28" spans="2:9" ht="30" customHeight="1" x14ac:dyDescent="0.45">
      <c r="B28" t="s">
        <v>81</v>
      </c>
      <c r="C28" s="13">
        <v>0.5</v>
      </c>
      <c r="D28" s="10" t="s">
        <v>61</v>
      </c>
      <c r="E28" s="41" t="s">
        <v>82</v>
      </c>
      <c r="F28" s="40"/>
      <c r="G28" s="40"/>
      <c r="H28" s="40"/>
      <c r="I28" s="40"/>
    </row>
    <row r="29" spans="2:9" ht="30" customHeight="1" x14ac:dyDescent="0.45">
      <c r="B29" t="s">
        <v>83</v>
      </c>
      <c r="C29" s="13">
        <v>0.25</v>
      </c>
      <c r="D29" s="10" t="s">
        <v>61</v>
      </c>
      <c r="E29" s="41" t="s">
        <v>84</v>
      </c>
      <c r="F29" s="40"/>
      <c r="G29" s="40"/>
      <c r="H29" s="40"/>
      <c r="I29" s="40"/>
    </row>
    <row r="30" spans="2:9" ht="30" customHeight="1" x14ac:dyDescent="0.45">
      <c r="B30" t="s">
        <v>85</v>
      </c>
      <c r="C30" s="13">
        <v>0</v>
      </c>
      <c r="D30" s="10" t="s">
        <v>61</v>
      </c>
      <c r="E30" s="41" t="s">
        <v>86</v>
      </c>
      <c r="F30" s="40"/>
      <c r="G30" s="40"/>
      <c r="H30" s="40"/>
      <c r="I30" s="40"/>
    </row>
    <row r="31" spans="2:9" ht="30" customHeight="1" x14ac:dyDescent="0.45">
      <c r="B31" t="s">
        <v>87</v>
      </c>
      <c r="C31" s="13">
        <v>0.5</v>
      </c>
      <c r="D31" s="10" t="s">
        <v>61</v>
      </c>
      <c r="E31" s="41" t="s">
        <v>88</v>
      </c>
      <c r="F31" s="40"/>
      <c r="G31" s="40"/>
      <c r="H31" s="40"/>
      <c r="I31" s="40"/>
    </row>
    <row r="32" spans="2:9" ht="30" customHeight="1" x14ac:dyDescent="0.45">
      <c r="B32" t="s">
        <v>89</v>
      </c>
      <c r="C32" s="15">
        <v>2</v>
      </c>
      <c r="D32" s="10" t="s">
        <v>90</v>
      </c>
      <c r="E32" s="41" t="s">
        <v>91</v>
      </c>
      <c r="F32" s="40"/>
      <c r="G32" s="40"/>
      <c r="H32" s="40"/>
      <c r="I32" s="40"/>
    </row>
    <row r="33" spans="2:9" ht="30" customHeight="1" x14ac:dyDescent="0.45">
      <c r="B33" t="s">
        <v>92</v>
      </c>
      <c r="C33" s="13">
        <v>0.3</v>
      </c>
      <c r="D33" s="10" t="s">
        <v>61</v>
      </c>
      <c r="E33" s="41" t="s">
        <v>93</v>
      </c>
      <c r="F33" s="40"/>
      <c r="G33" s="40"/>
      <c r="H33" s="40"/>
      <c r="I33" s="40"/>
    </row>
    <row r="34" spans="2:9" ht="30" customHeight="1" x14ac:dyDescent="0.45">
      <c r="B34" t="s">
        <v>94</v>
      </c>
      <c r="C34" s="13">
        <v>0.1</v>
      </c>
      <c r="D34" s="10" t="s">
        <v>61</v>
      </c>
      <c r="E34" s="41" t="s">
        <v>95</v>
      </c>
      <c r="F34" s="40"/>
      <c r="G34" s="40"/>
      <c r="H34" s="40"/>
      <c r="I34" s="40"/>
    </row>
    <row r="36" spans="2:9" ht="15.75" x14ac:dyDescent="0.5">
      <c r="B36" s="4" t="s">
        <v>96</v>
      </c>
    </row>
    <row r="37" spans="2:9" x14ac:dyDescent="0.45">
      <c r="B37" s="5" t="s">
        <v>97</v>
      </c>
      <c r="C37" s="5" t="s">
        <v>5</v>
      </c>
      <c r="D37" s="5" t="s">
        <v>6</v>
      </c>
      <c r="E37" s="5" t="s">
        <v>7</v>
      </c>
      <c r="F37" s="5" t="s">
        <v>79</v>
      </c>
    </row>
    <row r="38" spans="2:9" ht="30" customHeight="1" x14ac:dyDescent="0.45">
      <c r="B38" t="s">
        <v>98</v>
      </c>
      <c r="C38" s="13">
        <v>0.1</v>
      </c>
      <c r="D38" s="13">
        <v>0.35</v>
      </c>
      <c r="E38" s="13">
        <v>0.7</v>
      </c>
      <c r="F38" s="41" t="s">
        <v>99</v>
      </c>
      <c r="G38" s="40"/>
      <c r="H38" s="40"/>
      <c r="I38" s="40"/>
    </row>
    <row r="39" spans="2:9" ht="30" customHeight="1" x14ac:dyDescent="0.45">
      <c r="B39" t="s">
        <v>100</v>
      </c>
      <c r="C39" s="13">
        <v>0.02</v>
      </c>
      <c r="D39" s="13">
        <v>0.03</v>
      </c>
      <c r="E39" s="13">
        <v>0.04</v>
      </c>
      <c r="F39" s="41" t="s">
        <v>101</v>
      </c>
      <c r="G39" s="40"/>
      <c r="H39" s="40"/>
      <c r="I39" s="40"/>
    </row>
    <row r="40" spans="2:9" ht="30" customHeight="1" x14ac:dyDescent="0.45">
      <c r="B40" t="s">
        <v>102</v>
      </c>
      <c r="C40" s="13">
        <v>-0.3</v>
      </c>
      <c r="D40" s="13">
        <v>-0.15</v>
      </c>
      <c r="E40" s="13">
        <v>-0.05</v>
      </c>
      <c r="F40" s="41" t="s">
        <v>103</v>
      </c>
      <c r="G40" s="40"/>
      <c r="H40" s="40"/>
      <c r="I40" s="40"/>
    </row>
    <row r="41" spans="2:9" ht="30" customHeight="1" x14ac:dyDescent="0.45">
      <c r="B41" t="s">
        <v>104</v>
      </c>
      <c r="C41" s="13">
        <v>0.1</v>
      </c>
      <c r="D41" s="13">
        <v>0.2</v>
      </c>
      <c r="E41" s="13">
        <v>0.3</v>
      </c>
      <c r="F41" s="41" t="s">
        <v>105</v>
      </c>
      <c r="G41" s="40"/>
      <c r="H41" s="40"/>
      <c r="I41" s="40"/>
    </row>
    <row r="42" spans="2:9" ht="75" customHeight="1" x14ac:dyDescent="0.45">
      <c r="B42" t="s">
        <v>106</v>
      </c>
      <c r="C42" s="14" t="s">
        <v>107</v>
      </c>
      <c r="D42" s="14" t="s">
        <v>108</v>
      </c>
      <c r="E42" s="14" t="s">
        <v>109</v>
      </c>
    </row>
    <row r="44" spans="2:9" ht="15.75" x14ac:dyDescent="0.5">
      <c r="B44" s="4" t="s">
        <v>110</v>
      </c>
    </row>
    <row r="45" spans="2:9" x14ac:dyDescent="0.45">
      <c r="B45" s="10" t="s">
        <v>111</v>
      </c>
    </row>
    <row r="46" spans="2:9" ht="28.5" x14ac:dyDescent="0.45">
      <c r="B46" s="5" t="s">
        <v>97</v>
      </c>
      <c r="C46" s="5" t="s">
        <v>112</v>
      </c>
      <c r="D46" s="5" t="s">
        <v>113</v>
      </c>
      <c r="E46" s="5" t="s">
        <v>114</v>
      </c>
      <c r="F46" s="5" t="s">
        <v>115</v>
      </c>
      <c r="G46" s="5" t="s">
        <v>116</v>
      </c>
      <c r="H46" s="5" t="s">
        <v>117</v>
      </c>
    </row>
    <row r="47" spans="2:9" x14ac:dyDescent="0.45">
      <c r="B47" t="s">
        <v>98</v>
      </c>
      <c r="C47" s="16">
        <f>IF(GateCurve_g&lt;&gt;"",GateCurve_g,IF(BeG1_g&lt;&gt;"",BeG1_g,IF(BeG2_g&lt;&gt;"",BeG2_g,IF(GateMap_g&lt;&gt;"",GateMap_g,IF(TornPick=1,IF(TornSide=1,E47,F47),IF(G47&lt;&gt;"",G47,H47))))))</f>
        <v>0.35</v>
      </c>
      <c r="D47" s="17" t="s">
        <v>118</v>
      </c>
      <c r="E47" s="13">
        <v>0.15</v>
      </c>
      <c r="F47" s="13">
        <v>0.55000000000000004</v>
      </c>
      <c r="G47" s="18"/>
      <c r="H47" s="7">
        <f>INDEX(C38:E38,ScnEff)</f>
        <v>0.35</v>
      </c>
    </row>
    <row r="48" spans="2:9" x14ac:dyDescent="0.45">
      <c r="B48" t="s">
        <v>104</v>
      </c>
      <c r="C48" s="16">
        <f>IF(GateCurve_g&lt;&gt;"",J_cmGate,IF(GateMap_cm&lt;&gt;"",GateMap_cm,IF(TornPick=2,IF(TornSide=1,E48,F48),IF(G48&lt;&gt;"",G48,H48))))</f>
        <v>0.2</v>
      </c>
      <c r="D48" s="17" t="s">
        <v>119</v>
      </c>
      <c r="E48" s="13">
        <v>0.1</v>
      </c>
      <c r="F48" s="13">
        <v>0.3</v>
      </c>
      <c r="G48" s="18"/>
      <c r="H48" s="7">
        <f>INDEX(C41:E41,ScnEff)</f>
        <v>0.2</v>
      </c>
    </row>
    <row r="49" spans="2:8" x14ac:dyDescent="0.45">
      <c r="B49" t="s">
        <v>120</v>
      </c>
      <c r="C49" s="16">
        <f>IF(TornPick=3,IF(TornSide=1,E49,F49),IF(G49&lt;&gt;"",G49,H49))</f>
        <v>0.5</v>
      </c>
      <c r="D49" s="17" t="s">
        <v>121</v>
      </c>
      <c r="E49" s="13">
        <v>0.3</v>
      </c>
      <c r="F49" s="13">
        <v>0.7</v>
      </c>
      <c r="G49" s="18"/>
      <c r="H49" s="7">
        <f>J_s</f>
        <v>0.5</v>
      </c>
    </row>
    <row r="50" spans="2:8" x14ac:dyDescent="0.45">
      <c r="B50" t="s">
        <v>85</v>
      </c>
      <c r="C50" s="16">
        <f>IF(SensA_x&lt;&gt;"",SensA_x,IF(TornPick=4,IF(TornSide=1,E50,F50),IF(G50&lt;&gt;"",G50,H50)))</f>
        <v>0</v>
      </c>
      <c r="D50" s="17" t="s">
        <v>122</v>
      </c>
      <c r="E50" s="13">
        <v>0.05</v>
      </c>
      <c r="F50" s="13">
        <v>-0.05</v>
      </c>
      <c r="G50" s="18"/>
      <c r="H50" s="7">
        <f>J_e</f>
        <v>0</v>
      </c>
    </row>
    <row r="51" spans="2:8" x14ac:dyDescent="0.45">
      <c r="B51" t="s">
        <v>18</v>
      </c>
      <c r="C51" s="16">
        <f>IF(SensA_y&lt;&gt;"",SensA_y,IF(TornPick=5,IF(TornSide=1,E51,F51),IF(G51&lt;&gt;"",G51,H51)))</f>
        <v>0.1</v>
      </c>
      <c r="D51" s="17" t="s">
        <v>123</v>
      </c>
      <c r="E51" s="13">
        <v>0.12</v>
      </c>
      <c r="F51" s="13">
        <v>0.08</v>
      </c>
      <c r="G51" s="18"/>
      <c r="H51" s="7">
        <f>J_r</f>
        <v>0.1</v>
      </c>
    </row>
    <row r="52" spans="2:8" x14ac:dyDescent="0.45">
      <c r="B52" t="s">
        <v>124</v>
      </c>
      <c r="C52" s="16">
        <f>IF(TornPick=6,IF(TornSide=1,E52,F52),IF(G52&lt;&gt;"",G52,H52))</f>
        <v>0.03</v>
      </c>
      <c r="D52" s="17" t="s">
        <v>125</v>
      </c>
      <c r="E52" s="13">
        <v>0.02</v>
      </c>
      <c r="F52" s="13">
        <v>0.04</v>
      </c>
      <c r="G52" s="18"/>
      <c r="H52" s="7">
        <f>INDEX(C39:E39,ScnEff)</f>
        <v>0.03</v>
      </c>
    </row>
    <row r="53" spans="2:8" x14ac:dyDescent="0.45">
      <c r="B53" t="s">
        <v>102</v>
      </c>
      <c r="C53" s="16">
        <f>IF(TornPick=7,IF(TornSide=1,E53,F53),IF(G53&lt;&gt;"",G53,H53))</f>
        <v>-0.15</v>
      </c>
      <c r="D53" s="17" t="s">
        <v>126</v>
      </c>
      <c r="E53" s="13">
        <v>-0.25</v>
      </c>
      <c r="F53" s="13">
        <v>-0.05</v>
      </c>
      <c r="G53" s="18"/>
      <c r="H53" s="7">
        <f>INDEX(C40:E40,ScnEff)</f>
        <v>-0.15</v>
      </c>
    </row>
    <row r="54" spans="2:8" x14ac:dyDescent="0.45">
      <c r="B54" t="s">
        <v>127</v>
      </c>
      <c r="C54" s="16">
        <f>IF(TornPick=8,IF(TornSide=1,E54,F54),IF(G54&lt;&gt;"",G54,H54))</f>
        <v>0.7</v>
      </c>
      <c r="D54" s="17" t="s">
        <v>128</v>
      </c>
      <c r="E54" s="13">
        <v>0.8</v>
      </c>
      <c r="F54" s="13">
        <v>0.6</v>
      </c>
      <c r="G54" s="18"/>
      <c r="H54" s="7">
        <f>F_w</f>
        <v>0.7</v>
      </c>
    </row>
    <row r="55" spans="2:8" x14ac:dyDescent="0.45">
      <c r="B55" t="s">
        <v>129</v>
      </c>
      <c r="C55" s="16">
        <f>IF(TornPick=9,IF(TornSide=1,E55,F55),IF(G55&lt;&gt;"",G55,H55))</f>
        <v>0.25</v>
      </c>
      <c r="D55" s="17" t="s">
        <v>130</v>
      </c>
      <c r="E55" s="13">
        <v>0.1</v>
      </c>
      <c r="F55" s="13">
        <v>0.5</v>
      </c>
      <c r="G55" s="18"/>
      <c r="H55" s="7">
        <f>J_k</f>
        <v>0.25</v>
      </c>
    </row>
    <row r="56" spans="2:8" x14ac:dyDescent="0.45">
      <c r="B56" t="s">
        <v>131</v>
      </c>
      <c r="C56" s="16">
        <f>IF(G56&lt;&gt;"",G56,H56)</f>
        <v>0.5</v>
      </c>
      <c r="D56" s="17" t="s">
        <v>132</v>
      </c>
      <c r="G56" s="18"/>
      <c r="H56" s="7">
        <f>J_cap</f>
        <v>0.5</v>
      </c>
    </row>
    <row r="58" spans="2:8" ht="15.75" x14ac:dyDescent="0.5">
      <c r="B58" s="4" t="s">
        <v>133</v>
      </c>
    </row>
    <row r="59" spans="2:8" x14ac:dyDescent="0.45">
      <c r="B59" t="s">
        <v>134</v>
      </c>
      <c r="C59">
        <f>IF(OR(GateCurve_g&lt;&gt;"",GateMap_g&lt;&gt;""),3,IF(BeG1_g&lt;&gt;"",1,IF(BeG2_g&lt;&gt;"",2,IF(OR(TornPick&gt;0,SensA_x&lt;&gt;""),1,IF(CaseSel&gt;0,INT((CaseSel-1)/3)+1,OptionSel)))))</f>
        <v>3</v>
      </c>
    </row>
    <row r="60" spans="2:8" x14ac:dyDescent="0.45">
      <c r="B60" t="s">
        <v>135</v>
      </c>
      <c r="C60">
        <f>IF(OR(GateCurve_g&lt;&gt;"",GateMap_g&lt;&gt;"",BeG1_g&lt;&gt;"",BeG2_g&lt;&gt;"",TornPick&gt;0,SensA_x&lt;&gt;""),2,IF(CaseSel&gt;0,MOD(CaseSel-1,3)+1,ScenarioSel))</f>
        <v>2</v>
      </c>
    </row>
    <row r="61" spans="2:8" x14ac:dyDescent="0.45">
      <c r="B61" t="s">
        <v>136</v>
      </c>
      <c r="C61">
        <f>IF(OptEff&lt;=3,1,0)</f>
        <v>1</v>
      </c>
    </row>
    <row r="62" spans="2:8" x14ac:dyDescent="0.45">
      <c r="B62" t="s">
        <v>137</v>
      </c>
      <c r="C62">
        <f>IF(OptEff=1,1,0)</f>
        <v>0</v>
      </c>
    </row>
    <row r="63" spans="2:8" x14ac:dyDescent="0.45">
      <c r="B63" t="s">
        <v>138</v>
      </c>
      <c r="C63">
        <f>IF(OptEff=3,1,0)</f>
        <v>1</v>
      </c>
    </row>
    <row r="64" spans="2:8" x14ac:dyDescent="0.45">
      <c r="B64" t="s">
        <v>139</v>
      </c>
      <c r="C64">
        <f>IF(OptEff=3,1,0)</f>
        <v>1</v>
      </c>
    </row>
    <row r="65" spans="2:3" x14ac:dyDescent="0.45">
      <c r="B65" t="s">
        <v>140</v>
      </c>
      <c r="C65" s="7">
        <f>F_tax</f>
        <v>0.21</v>
      </c>
    </row>
    <row r="66" spans="2:3" x14ac:dyDescent="0.45">
      <c r="B66" t="s">
        <v>141</v>
      </c>
      <c r="C66">
        <f>J_gate</f>
        <v>2</v>
      </c>
    </row>
  </sheetData>
  <mergeCells count="12">
    <mergeCell ref="E28:I28"/>
    <mergeCell ref="E33:I33"/>
    <mergeCell ref="F38:I38"/>
    <mergeCell ref="E27:I27"/>
    <mergeCell ref="E31:I31"/>
    <mergeCell ref="E30:I30"/>
    <mergeCell ref="E34:I34"/>
    <mergeCell ref="E29:I29"/>
    <mergeCell ref="F40:I40"/>
    <mergeCell ref="F41:I41"/>
    <mergeCell ref="E32:I32"/>
    <mergeCell ref="F39:I3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6"/>
  <sheetViews>
    <sheetView workbookViewId="0">
      <pane xSplit="2" ySplit="3" topLeftCell="C4" activePane="bottomRight" state="frozen"/>
      <selection pane="topRight"/>
      <selection pane="bottomLeft"/>
      <selection pane="bottomRight"/>
    </sheetView>
  </sheetViews>
  <sheetFormatPr defaultRowHeight="14.25" x14ac:dyDescent="0.45"/>
  <cols>
    <col min="1" max="1" width="2" customWidth="1"/>
    <col min="2" max="3" width="12" customWidth="1"/>
    <col min="4" max="8" width="14" customWidth="1"/>
    <col min="9" max="9" width="24" customWidth="1"/>
    <col min="10" max="10" width="11" customWidth="1"/>
    <col min="11" max="12" width="14" customWidth="1"/>
    <col min="13" max="14" width="13" customWidth="1"/>
  </cols>
  <sheetData>
    <row r="1" spans="2:11" ht="18" x14ac:dyDescent="0.55000000000000004">
      <c r="B1" s="1" t="s">
        <v>142</v>
      </c>
    </row>
    <row r="2" spans="2:11" x14ac:dyDescent="0.45">
      <c r="B2" s="2" t="s">
        <v>143</v>
      </c>
    </row>
    <row r="4" spans="2:11" ht="15.75" x14ac:dyDescent="0.5">
      <c r="B4" s="4" t="s">
        <v>144</v>
      </c>
    </row>
    <row r="5" spans="2:11" ht="28.5" x14ac:dyDescent="0.45">
      <c r="B5" s="5" t="s">
        <v>145</v>
      </c>
      <c r="C5" s="5"/>
      <c r="D5" s="5" t="s">
        <v>146</v>
      </c>
      <c r="E5" s="5" t="s">
        <v>147</v>
      </c>
      <c r="F5" s="5" t="s">
        <v>148</v>
      </c>
      <c r="G5" s="5" t="s">
        <v>149</v>
      </c>
      <c r="H5" s="5" t="s">
        <v>150</v>
      </c>
      <c r="I5" s="5" t="s">
        <v>151</v>
      </c>
      <c r="J5" s="5"/>
      <c r="K5" s="5" t="s">
        <v>152</v>
      </c>
    </row>
    <row r="6" spans="2:11" x14ac:dyDescent="0.45">
      <c r="B6">
        <v>2019</v>
      </c>
      <c r="D6" s="11">
        <v>501000000</v>
      </c>
      <c r="E6" s="11">
        <v>-4503000000</v>
      </c>
      <c r="H6" s="19">
        <f t="shared" ref="H6:H12" si="0">D6-E6</f>
        <v>5004000000</v>
      </c>
      <c r="I6" s="10" t="s">
        <v>153</v>
      </c>
      <c r="K6" s="11">
        <v>28489000000</v>
      </c>
    </row>
    <row r="7" spans="2:11" x14ac:dyDescent="0.45">
      <c r="B7">
        <v>2020</v>
      </c>
      <c r="D7" s="11">
        <v>1139000000</v>
      </c>
      <c r="E7" s="11">
        <v>-6623000000</v>
      </c>
      <c r="H7" s="19">
        <f t="shared" si="0"/>
        <v>7762000000</v>
      </c>
      <c r="I7" s="10" t="s">
        <v>153</v>
      </c>
      <c r="K7" s="11">
        <v>39294000000</v>
      </c>
    </row>
    <row r="8" spans="2:11" x14ac:dyDescent="0.45">
      <c r="B8">
        <v>2021</v>
      </c>
      <c r="D8" s="11">
        <v>2274000000</v>
      </c>
      <c r="E8" s="11">
        <v>-10193000000</v>
      </c>
      <c r="H8" s="19">
        <f t="shared" si="0"/>
        <v>12467000000</v>
      </c>
      <c r="I8" s="10" t="s">
        <v>153</v>
      </c>
      <c r="K8" s="11">
        <v>56946000000</v>
      </c>
    </row>
    <row r="9" spans="2:11" x14ac:dyDescent="0.45">
      <c r="B9">
        <v>2022</v>
      </c>
      <c r="D9" s="11">
        <v>2159000000</v>
      </c>
      <c r="E9" s="11">
        <v>-13717000000</v>
      </c>
      <c r="F9" s="11">
        <v>7766000000</v>
      </c>
      <c r="G9" s="11">
        <v>8110000000</v>
      </c>
      <c r="H9" s="19">
        <f t="shared" si="0"/>
        <v>15876000000</v>
      </c>
      <c r="I9" s="10" t="s">
        <v>154</v>
      </c>
      <c r="K9" s="11">
        <v>42661000000</v>
      </c>
    </row>
    <row r="10" spans="2:11" x14ac:dyDescent="0.45">
      <c r="B10">
        <v>2023</v>
      </c>
      <c r="D10" s="11">
        <v>1896000000</v>
      </c>
      <c r="E10" s="11">
        <v>-16120000000</v>
      </c>
      <c r="F10" s="11">
        <v>8942000000</v>
      </c>
      <c r="G10" s="11">
        <v>9074000000</v>
      </c>
      <c r="H10" s="19">
        <f t="shared" si="0"/>
        <v>18016000000</v>
      </c>
      <c r="I10" s="10" t="s">
        <v>155</v>
      </c>
      <c r="K10" s="11">
        <v>62871000000</v>
      </c>
    </row>
    <row r="11" spans="2:11" x14ac:dyDescent="0.45">
      <c r="B11">
        <v>2024</v>
      </c>
      <c r="D11" s="11">
        <v>2146000000</v>
      </c>
      <c r="E11" s="11">
        <v>-17729000000</v>
      </c>
      <c r="F11" s="11">
        <v>10211000000</v>
      </c>
      <c r="G11" s="11">
        <v>9664000000</v>
      </c>
      <c r="H11" s="19">
        <f t="shared" si="0"/>
        <v>19875000000</v>
      </c>
      <c r="I11" s="10" t="s">
        <v>156</v>
      </c>
      <c r="K11" s="11">
        <v>87109000000</v>
      </c>
    </row>
    <row r="12" spans="2:11" x14ac:dyDescent="0.45">
      <c r="B12">
        <v>2025</v>
      </c>
      <c r="D12" s="11">
        <v>2207000000</v>
      </c>
      <c r="E12" s="11">
        <v>-19193000000</v>
      </c>
      <c r="F12" s="11">
        <v>10759000000</v>
      </c>
      <c r="G12" s="11">
        <v>10641000000</v>
      </c>
      <c r="H12" s="19">
        <f t="shared" si="0"/>
        <v>21400000000</v>
      </c>
      <c r="I12" s="10" t="s">
        <v>55</v>
      </c>
      <c r="K12" s="11">
        <v>102469000000</v>
      </c>
    </row>
    <row r="14" spans="2:11" ht="15.75" x14ac:dyDescent="0.5">
      <c r="B14" s="4" t="s">
        <v>157</v>
      </c>
    </row>
    <row r="15" spans="2:11" ht="28.5" x14ac:dyDescent="0.45">
      <c r="B15" s="5" t="s">
        <v>145</v>
      </c>
      <c r="C15" s="5"/>
      <c r="D15" s="5" t="s">
        <v>146</v>
      </c>
      <c r="E15" s="5" t="s">
        <v>147</v>
      </c>
      <c r="F15" s="5" t="s">
        <v>148</v>
      </c>
      <c r="G15" s="5" t="s">
        <v>149</v>
      </c>
      <c r="H15" s="5" t="s">
        <v>150</v>
      </c>
      <c r="I15" s="5" t="s">
        <v>151</v>
      </c>
    </row>
    <row r="16" spans="2:11" x14ac:dyDescent="0.45">
      <c r="B16">
        <v>2021</v>
      </c>
      <c r="D16" s="11">
        <v>1397000000</v>
      </c>
      <c r="E16" s="11">
        <v>-6890000000</v>
      </c>
      <c r="H16" s="19">
        <f t="shared" ref="H16:H21" si="1">D16-E16</f>
        <v>8287000000</v>
      </c>
      <c r="I16" s="10" t="s">
        <v>158</v>
      </c>
    </row>
    <row r="17" spans="2:13" x14ac:dyDescent="0.45">
      <c r="B17">
        <v>2022</v>
      </c>
      <c r="D17" s="11">
        <v>1433000000</v>
      </c>
      <c r="E17" s="11">
        <v>-9438000000</v>
      </c>
      <c r="H17" s="19">
        <f t="shared" si="1"/>
        <v>10871000000</v>
      </c>
      <c r="I17" s="10" t="s">
        <v>158</v>
      </c>
    </row>
    <row r="18" spans="2:13" x14ac:dyDescent="0.45">
      <c r="B18">
        <v>2023</v>
      </c>
      <c r="D18" s="11">
        <v>825000000</v>
      </c>
      <c r="E18" s="11">
        <v>-11474000000</v>
      </c>
      <c r="H18" s="19">
        <f t="shared" si="1"/>
        <v>12299000000</v>
      </c>
      <c r="I18" s="10" t="s">
        <v>159</v>
      </c>
    </row>
    <row r="19" spans="2:13" x14ac:dyDescent="0.45">
      <c r="B19">
        <v>2024</v>
      </c>
      <c r="D19" s="11">
        <v>1063000000</v>
      </c>
      <c r="E19" s="11">
        <v>-12762000000</v>
      </c>
      <c r="F19" s="11">
        <v>7713000000</v>
      </c>
      <c r="G19" s="11">
        <v>6112000000</v>
      </c>
      <c r="H19" s="19">
        <f t="shared" si="1"/>
        <v>13825000000</v>
      </c>
      <c r="I19" s="10" t="s">
        <v>160</v>
      </c>
    </row>
    <row r="20" spans="2:13" x14ac:dyDescent="0.45">
      <c r="B20">
        <v>2025</v>
      </c>
      <c r="D20" s="11">
        <v>1252000000</v>
      </c>
      <c r="E20" s="11">
        <v>-13171000000</v>
      </c>
      <c r="F20" s="11">
        <v>7895000000</v>
      </c>
      <c r="G20" s="11">
        <v>6528000000</v>
      </c>
      <c r="H20" s="19">
        <f t="shared" si="1"/>
        <v>14423000000</v>
      </c>
      <c r="I20" s="10" t="s">
        <v>49</v>
      </c>
    </row>
    <row r="21" spans="2:13" x14ac:dyDescent="0.45">
      <c r="B21">
        <v>2026</v>
      </c>
      <c r="D21" s="11">
        <v>1276000000</v>
      </c>
      <c r="E21" s="11">
        <v>-12775000000</v>
      </c>
      <c r="F21" s="11">
        <v>6982000000</v>
      </c>
      <c r="G21" s="11">
        <v>7069000000</v>
      </c>
      <c r="H21" s="19">
        <f t="shared" si="1"/>
        <v>14051000000</v>
      </c>
      <c r="I21" s="10" t="s">
        <v>42</v>
      </c>
    </row>
    <row r="23" spans="2:13" ht="15.75" x14ac:dyDescent="0.5">
      <c r="B23" s="4" t="s">
        <v>161</v>
      </c>
    </row>
    <row r="24" spans="2:13" ht="42.75" x14ac:dyDescent="0.45">
      <c r="B24" s="5" t="s">
        <v>162</v>
      </c>
      <c r="C24" s="5" t="s">
        <v>163</v>
      </c>
      <c r="D24" s="5" t="s">
        <v>146</v>
      </c>
      <c r="E24" s="5" t="s">
        <v>147</v>
      </c>
      <c r="F24" s="5" t="s">
        <v>148</v>
      </c>
      <c r="G24" s="5" t="s">
        <v>149</v>
      </c>
      <c r="H24" s="5" t="s">
        <v>150</v>
      </c>
      <c r="I24" s="5" t="s">
        <v>164</v>
      </c>
      <c r="J24" s="5" t="s">
        <v>165</v>
      </c>
      <c r="K24" s="5" t="s">
        <v>166</v>
      </c>
      <c r="L24" s="5" t="s">
        <v>167</v>
      </c>
      <c r="M24" s="5" t="s">
        <v>168</v>
      </c>
    </row>
    <row r="25" spans="2:13" x14ac:dyDescent="0.45">
      <c r="B25" t="s">
        <v>169</v>
      </c>
      <c r="C25" t="s">
        <v>170</v>
      </c>
      <c r="D25" s="11">
        <v>534000000</v>
      </c>
      <c r="E25" s="11">
        <v>-1827000000</v>
      </c>
      <c r="H25" s="19">
        <f t="shared" ref="H25:H47" si="2">D25-E25</f>
        <v>2361000000</v>
      </c>
      <c r="I25" s="10" t="s">
        <v>171</v>
      </c>
      <c r="M25" s="20" t="str">
        <f t="shared" ref="M25:M47" si="3">IF(OR(F25="",G25=""),"",D25-F25-G25-E25)</f>
        <v/>
      </c>
    </row>
    <row r="26" spans="2:13" x14ac:dyDescent="0.45">
      <c r="B26" t="s">
        <v>172</v>
      </c>
      <c r="C26" t="s">
        <v>173</v>
      </c>
      <c r="D26" s="11">
        <v>305000000</v>
      </c>
      <c r="E26" s="11">
        <v>-2432000000</v>
      </c>
      <c r="H26" s="19">
        <f t="shared" si="2"/>
        <v>2737000000</v>
      </c>
      <c r="I26" s="10" t="s">
        <v>174</v>
      </c>
      <c r="M26" s="20" t="str">
        <f t="shared" si="3"/>
        <v/>
      </c>
    </row>
    <row r="27" spans="2:13" x14ac:dyDescent="0.45">
      <c r="B27" t="s">
        <v>175</v>
      </c>
      <c r="C27" t="s">
        <v>176</v>
      </c>
      <c r="D27" s="11">
        <v>558000000</v>
      </c>
      <c r="E27" s="11">
        <v>-2631000000</v>
      </c>
      <c r="H27" s="19">
        <f t="shared" si="2"/>
        <v>3189000000</v>
      </c>
      <c r="I27" s="10" t="s">
        <v>158</v>
      </c>
      <c r="M27" s="20" t="str">
        <f t="shared" si="3"/>
        <v/>
      </c>
    </row>
    <row r="28" spans="2:13" x14ac:dyDescent="0.45">
      <c r="B28" t="s">
        <v>177</v>
      </c>
      <c r="C28" t="s">
        <v>178</v>
      </c>
      <c r="D28" s="19">
        <f>D8-D16</f>
        <v>877000000</v>
      </c>
      <c r="E28" s="19">
        <f>E8-E16</f>
        <v>-3303000000</v>
      </c>
      <c r="H28" s="19">
        <f t="shared" si="2"/>
        <v>4180000000</v>
      </c>
      <c r="I28" s="10" t="s">
        <v>179</v>
      </c>
      <c r="K28" s="19">
        <f t="shared" ref="K28:K47" si="4">SUM(D25:D28)</f>
        <v>2274000000</v>
      </c>
      <c r="L28" s="19">
        <f t="shared" ref="L28:L47" si="5">SUM(E25:E28)</f>
        <v>-10193000000</v>
      </c>
      <c r="M28" s="20" t="str">
        <f t="shared" si="3"/>
        <v/>
      </c>
    </row>
    <row r="29" spans="2:13" x14ac:dyDescent="0.45">
      <c r="B29" t="s">
        <v>180</v>
      </c>
      <c r="C29" t="s">
        <v>181</v>
      </c>
      <c r="D29" s="11">
        <v>695000000</v>
      </c>
      <c r="E29" s="11">
        <v>-2960000000</v>
      </c>
      <c r="H29" s="19">
        <f t="shared" si="2"/>
        <v>3655000000</v>
      </c>
      <c r="I29" s="10" t="s">
        <v>171</v>
      </c>
      <c r="J29" s="7">
        <f t="shared" ref="J29:J47" si="6">D29/D25-1</f>
        <v>0.30149812734082393</v>
      </c>
      <c r="K29" s="19">
        <f t="shared" si="4"/>
        <v>2435000000</v>
      </c>
      <c r="L29" s="19">
        <f t="shared" si="5"/>
        <v>-11326000000</v>
      </c>
      <c r="M29" s="20" t="str">
        <f t="shared" si="3"/>
        <v/>
      </c>
    </row>
    <row r="30" spans="2:13" x14ac:dyDescent="0.45">
      <c r="B30" t="s">
        <v>182</v>
      </c>
      <c r="C30" t="s">
        <v>183</v>
      </c>
      <c r="D30" s="11">
        <v>452000000</v>
      </c>
      <c r="E30" s="11">
        <v>-2806000000</v>
      </c>
      <c r="H30" s="19">
        <f t="shared" si="2"/>
        <v>3258000000</v>
      </c>
      <c r="I30" s="10" t="s">
        <v>174</v>
      </c>
      <c r="J30" s="7">
        <f t="shared" si="6"/>
        <v>0.4819672131147541</v>
      </c>
      <c r="K30" s="19">
        <f t="shared" si="4"/>
        <v>2582000000</v>
      </c>
      <c r="L30" s="19">
        <f t="shared" si="5"/>
        <v>-11700000000</v>
      </c>
      <c r="M30" s="20" t="str">
        <f t="shared" si="3"/>
        <v/>
      </c>
    </row>
    <row r="31" spans="2:13" x14ac:dyDescent="0.45">
      <c r="B31" t="s">
        <v>184</v>
      </c>
      <c r="C31" t="s">
        <v>185</v>
      </c>
      <c r="D31" s="11">
        <v>285000000</v>
      </c>
      <c r="E31" s="11">
        <v>-3672000000</v>
      </c>
      <c r="H31" s="19">
        <f t="shared" si="2"/>
        <v>3957000000</v>
      </c>
      <c r="I31" s="10" t="s">
        <v>158</v>
      </c>
      <c r="J31" s="7">
        <f t="shared" si="6"/>
        <v>-0.489247311827957</v>
      </c>
      <c r="K31" s="19">
        <f t="shared" si="4"/>
        <v>2309000000</v>
      </c>
      <c r="L31" s="19">
        <f t="shared" si="5"/>
        <v>-12741000000</v>
      </c>
      <c r="M31" s="20" t="str">
        <f t="shared" si="3"/>
        <v/>
      </c>
    </row>
    <row r="32" spans="2:13" x14ac:dyDescent="0.45">
      <c r="B32" t="s">
        <v>186</v>
      </c>
      <c r="C32" t="s">
        <v>187</v>
      </c>
      <c r="D32" s="19">
        <f>D9-D17</f>
        <v>726000000</v>
      </c>
      <c r="E32" s="19">
        <f>E9-E17</f>
        <v>-4279000000</v>
      </c>
      <c r="H32" s="19">
        <f t="shared" si="2"/>
        <v>5005000000</v>
      </c>
      <c r="I32" s="10" t="s">
        <v>179</v>
      </c>
      <c r="J32" s="7">
        <f t="shared" si="6"/>
        <v>-0.17217787913340932</v>
      </c>
      <c r="K32" s="19">
        <f t="shared" si="4"/>
        <v>2158000000</v>
      </c>
      <c r="L32" s="19">
        <f t="shared" si="5"/>
        <v>-13717000000</v>
      </c>
      <c r="M32" s="20" t="str">
        <f t="shared" si="3"/>
        <v/>
      </c>
    </row>
    <row r="33" spans="2:13" x14ac:dyDescent="0.45">
      <c r="B33" t="s">
        <v>188</v>
      </c>
      <c r="C33" t="s">
        <v>189</v>
      </c>
      <c r="D33" s="11">
        <v>339000000</v>
      </c>
      <c r="E33" s="11">
        <v>-3992000000</v>
      </c>
      <c r="H33" s="19">
        <f t="shared" si="2"/>
        <v>4331000000</v>
      </c>
      <c r="I33" s="10" t="s">
        <v>190</v>
      </c>
      <c r="J33" s="7">
        <f t="shared" si="6"/>
        <v>-0.51223021582733819</v>
      </c>
      <c r="K33" s="19">
        <f t="shared" si="4"/>
        <v>1802000000</v>
      </c>
      <c r="L33" s="19">
        <f t="shared" si="5"/>
        <v>-14749000000</v>
      </c>
      <c r="M33" s="20" t="str">
        <f t="shared" si="3"/>
        <v/>
      </c>
    </row>
    <row r="34" spans="2:13" x14ac:dyDescent="0.45">
      <c r="B34" t="s">
        <v>191</v>
      </c>
      <c r="C34" t="s">
        <v>192</v>
      </c>
      <c r="D34" s="11">
        <v>276000000</v>
      </c>
      <c r="E34" s="11">
        <v>-3739000000</v>
      </c>
      <c r="H34" s="19">
        <f t="shared" si="2"/>
        <v>4015000000</v>
      </c>
      <c r="I34" s="10" t="s">
        <v>193</v>
      </c>
      <c r="J34" s="7">
        <f t="shared" si="6"/>
        <v>-0.38938053097345138</v>
      </c>
      <c r="K34" s="19">
        <f t="shared" si="4"/>
        <v>1626000000</v>
      </c>
      <c r="L34" s="19">
        <f t="shared" si="5"/>
        <v>-15682000000</v>
      </c>
      <c r="M34" s="20" t="str">
        <f t="shared" si="3"/>
        <v/>
      </c>
    </row>
    <row r="35" spans="2:13" x14ac:dyDescent="0.45">
      <c r="B35" t="s">
        <v>194</v>
      </c>
      <c r="C35" t="s">
        <v>195</v>
      </c>
      <c r="D35" s="11">
        <v>210000000</v>
      </c>
      <c r="E35" s="11">
        <v>-3742000000</v>
      </c>
      <c r="H35" s="19">
        <f t="shared" si="2"/>
        <v>3952000000</v>
      </c>
      <c r="I35" s="10" t="s">
        <v>159</v>
      </c>
      <c r="J35" s="7">
        <f t="shared" si="6"/>
        <v>-0.26315789473684215</v>
      </c>
      <c r="K35" s="19">
        <f t="shared" si="4"/>
        <v>1551000000</v>
      </c>
      <c r="L35" s="19">
        <f t="shared" si="5"/>
        <v>-15752000000</v>
      </c>
      <c r="M35" s="20" t="str">
        <f t="shared" si="3"/>
        <v/>
      </c>
    </row>
    <row r="36" spans="2:13" x14ac:dyDescent="0.45">
      <c r="B36" t="s">
        <v>196</v>
      </c>
      <c r="C36" t="s">
        <v>197</v>
      </c>
      <c r="D36" s="19">
        <f>D10-D18</f>
        <v>1071000000</v>
      </c>
      <c r="E36" s="19">
        <f>E10-E18</f>
        <v>-4646000000</v>
      </c>
      <c r="H36" s="19">
        <f t="shared" si="2"/>
        <v>5717000000</v>
      </c>
      <c r="I36" s="10" t="s">
        <v>179</v>
      </c>
      <c r="J36" s="7">
        <f t="shared" si="6"/>
        <v>0.47520661157024802</v>
      </c>
      <c r="K36" s="19">
        <f t="shared" si="4"/>
        <v>1896000000</v>
      </c>
      <c r="L36" s="19">
        <f t="shared" si="5"/>
        <v>-16119000000</v>
      </c>
      <c r="M36" s="20" t="str">
        <f t="shared" si="3"/>
        <v/>
      </c>
    </row>
    <row r="37" spans="2:13" x14ac:dyDescent="0.45">
      <c r="B37" t="s">
        <v>198</v>
      </c>
      <c r="C37" t="s">
        <v>199</v>
      </c>
      <c r="D37" s="11">
        <v>440000000</v>
      </c>
      <c r="E37" s="11">
        <v>-3846000000</v>
      </c>
      <c r="F37" s="11">
        <v>2458000000</v>
      </c>
      <c r="G37" s="11">
        <v>1828000000</v>
      </c>
      <c r="H37" s="19">
        <f t="shared" si="2"/>
        <v>4286000000</v>
      </c>
      <c r="I37" s="10" t="s">
        <v>200</v>
      </c>
      <c r="J37" s="7">
        <f t="shared" si="6"/>
        <v>0.29793510324483785</v>
      </c>
      <c r="K37" s="19">
        <f t="shared" si="4"/>
        <v>1997000000</v>
      </c>
      <c r="L37" s="19">
        <f t="shared" si="5"/>
        <v>-15973000000</v>
      </c>
      <c r="M37" s="20">
        <f t="shared" si="3"/>
        <v>0</v>
      </c>
    </row>
    <row r="38" spans="2:13" x14ac:dyDescent="0.45">
      <c r="B38" t="s">
        <v>201</v>
      </c>
      <c r="C38" t="s">
        <v>202</v>
      </c>
      <c r="D38" s="11">
        <v>353000000</v>
      </c>
      <c r="E38" s="11">
        <v>-4488000000</v>
      </c>
      <c r="F38" s="11">
        <v>2600000000</v>
      </c>
      <c r="G38" s="11">
        <v>2241000000</v>
      </c>
      <c r="H38" s="19">
        <f t="shared" si="2"/>
        <v>4841000000</v>
      </c>
      <c r="I38" s="10" t="s">
        <v>203</v>
      </c>
      <c r="J38" s="7">
        <f t="shared" si="6"/>
        <v>0.27898550724637672</v>
      </c>
      <c r="K38" s="19">
        <f t="shared" si="4"/>
        <v>2074000000</v>
      </c>
      <c r="L38" s="19">
        <f t="shared" si="5"/>
        <v>-16722000000</v>
      </c>
      <c r="M38" s="20">
        <f t="shared" si="3"/>
        <v>0</v>
      </c>
    </row>
    <row r="39" spans="2:13" x14ac:dyDescent="0.45">
      <c r="B39" t="s">
        <v>204</v>
      </c>
      <c r="C39" t="s">
        <v>205</v>
      </c>
      <c r="D39" s="11">
        <v>270000000</v>
      </c>
      <c r="E39" s="11">
        <v>-4428000000</v>
      </c>
      <c r="F39" s="11">
        <v>2655000000</v>
      </c>
      <c r="G39" s="11">
        <v>2043000000</v>
      </c>
      <c r="H39" s="19">
        <f t="shared" si="2"/>
        <v>4698000000</v>
      </c>
      <c r="I39" s="10" t="s">
        <v>160</v>
      </c>
      <c r="J39" s="7">
        <f t="shared" si="6"/>
        <v>0.28571428571428581</v>
      </c>
      <c r="K39" s="19">
        <f t="shared" si="4"/>
        <v>2134000000</v>
      </c>
      <c r="L39" s="19">
        <f t="shared" si="5"/>
        <v>-17408000000</v>
      </c>
      <c r="M39" s="20">
        <f t="shared" si="3"/>
        <v>0</v>
      </c>
    </row>
    <row r="40" spans="2:13" x14ac:dyDescent="0.45">
      <c r="B40" t="s">
        <v>206</v>
      </c>
      <c r="C40" t="s">
        <v>207</v>
      </c>
      <c r="D40" s="19">
        <f>D11-D19</f>
        <v>1083000000</v>
      </c>
      <c r="E40" s="19">
        <f>E11-E19</f>
        <v>-4967000000</v>
      </c>
      <c r="F40" s="19">
        <f>F11-F19</f>
        <v>2498000000</v>
      </c>
      <c r="G40" s="19">
        <f>G11-G19</f>
        <v>3552000000</v>
      </c>
      <c r="H40" s="19">
        <f t="shared" si="2"/>
        <v>6050000000</v>
      </c>
      <c r="I40" s="10" t="s">
        <v>179</v>
      </c>
      <c r="J40" s="7">
        <f t="shared" si="6"/>
        <v>1.1204481792717047E-2</v>
      </c>
      <c r="K40" s="19">
        <f t="shared" si="4"/>
        <v>2146000000</v>
      </c>
      <c r="L40" s="19">
        <f t="shared" si="5"/>
        <v>-17729000000</v>
      </c>
      <c r="M40" s="20">
        <f t="shared" si="3"/>
        <v>0</v>
      </c>
    </row>
    <row r="41" spans="2:13" x14ac:dyDescent="0.45">
      <c r="B41" t="s">
        <v>208</v>
      </c>
      <c r="C41" t="s">
        <v>209</v>
      </c>
      <c r="D41" s="11">
        <v>412000000</v>
      </c>
      <c r="E41" s="11">
        <v>-4210000000</v>
      </c>
      <c r="F41" s="11">
        <v>2777000000</v>
      </c>
      <c r="G41" s="11">
        <v>1845000000</v>
      </c>
      <c r="H41" s="19">
        <f t="shared" si="2"/>
        <v>4622000000</v>
      </c>
      <c r="I41" s="10" t="s">
        <v>210</v>
      </c>
      <c r="J41" s="7">
        <f t="shared" si="6"/>
        <v>-6.3636363636363602E-2</v>
      </c>
      <c r="K41" s="19">
        <f t="shared" si="4"/>
        <v>2118000000</v>
      </c>
      <c r="L41" s="19">
        <f t="shared" si="5"/>
        <v>-18093000000</v>
      </c>
      <c r="M41" s="20">
        <f t="shared" si="3"/>
        <v>0</v>
      </c>
    </row>
    <row r="42" spans="2:13" x14ac:dyDescent="0.45">
      <c r="B42" t="s">
        <v>211</v>
      </c>
      <c r="C42" t="s">
        <v>212</v>
      </c>
      <c r="D42" s="11">
        <v>370000000</v>
      </c>
      <c r="E42" s="11">
        <v>-4530000000</v>
      </c>
      <c r="F42" s="11">
        <v>2523000000</v>
      </c>
      <c r="G42" s="11">
        <v>2377000000</v>
      </c>
      <c r="H42" s="19">
        <f t="shared" si="2"/>
        <v>4900000000</v>
      </c>
      <c r="I42" s="10" t="s">
        <v>213</v>
      </c>
      <c r="J42" s="7">
        <f t="shared" si="6"/>
        <v>4.8158640226628968E-2</v>
      </c>
      <c r="K42" s="19">
        <f t="shared" si="4"/>
        <v>2135000000</v>
      </c>
      <c r="L42" s="19">
        <f t="shared" si="5"/>
        <v>-18135000000</v>
      </c>
      <c r="M42" s="20">
        <f t="shared" si="3"/>
        <v>0</v>
      </c>
    </row>
    <row r="43" spans="2:13" x14ac:dyDescent="0.45">
      <c r="B43" t="s">
        <v>214</v>
      </c>
      <c r="C43" t="s">
        <v>215</v>
      </c>
      <c r="D43" s="11">
        <v>470000000</v>
      </c>
      <c r="E43" s="11">
        <v>-4432000000</v>
      </c>
      <c r="F43" s="11">
        <v>2594000000</v>
      </c>
      <c r="G43" s="11">
        <v>2308000000</v>
      </c>
      <c r="H43" s="19">
        <f t="shared" si="2"/>
        <v>4902000000</v>
      </c>
      <c r="I43" s="10" t="s">
        <v>49</v>
      </c>
      <c r="J43" s="7">
        <f t="shared" si="6"/>
        <v>0.7407407407407407</v>
      </c>
      <c r="K43" s="19">
        <f t="shared" si="4"/>
        <v>2335000000</v>
      </c>
      <c r="L43" s="19">
        <f t="shared" si="5"/>
        <v>-18139000000</v>
      </c>
      <c r="M43" s="20">
        <f t="shared" si="3"/>
        <v>0</v>
      </c>
    </row>
    <row r="44" spans="2:13" x14ac:dyDescent="0.45">
      <c r="B44" t="s">
        <v>216</v>
      </c>
      <c r="C44" t="s">
        <v>217</v>
      </c>
      <c r="D44" s="19">
        <f>D12-D20</f>
        <v>955000000</v>
      </c>
      <c r="E44" s="19">
        <f>E12-E20</f>
        <v>-6022000000</v>
      </c>
      <c r="F44" s="19">
        <f>F12-F20</f>
        <v>2864000000</v>
      </c>
      <c r="G44" s="19">
        <f>G12-G20</f>
        <v>4113000000</v>
      </c>
      <c r="H44" s="19">
        <f t="shared" si="2"/>
        <v>6977000000</v>
      </c>
      <c r="I44" s="10" t="s">
        <v>179</v>
      </c>
      <c r="J44" s="7">
        <f t="shared" si="6"/>
        <v>-0.11819021237303784</v>
      </c>
      <c r="K44" s="19">
        <f t="shared" si="4"/>
        <v>2207000000</v>
      </c>
      <c r="L44" s="19">
        <f t="shared" si="5"/>
        <v>-19194000000</v>
      </c>
      <c r="M44" s="20">
        <f t="shared" si="3"/>
        <v>0</v>
      </c>
    </row>
    <row r="45" spans="2:13" x14ac:dyDescent="0.45">
      <c r="B45" t="s">
        <v>218</v>
      </c>
      <c r="C45" t="s">
        <v>219</v>
      </c>
      <c r="D45" s="11">
        <v>402000000</v>
      </c>
      <c r="E45" s="11">
        <v>-4028000000</v>
      </c>
      <c r="F45" s="11">
        <v>2545000000</v>
      </c>
      <c r="G45" s="11">
        <v>1885000000</v>
      </c>
      <c r="H45" s="19">
        <f t="shared" si="2"/>
        <v>4430000000</v>
      </c>
      <c r="I45" s="10" t="s">
        <v>220</v>
      </c>
      <c r="J45" s="7">
        <f t="shared" si="6"/>
        <v>-2.4271844660194164E-2</v>
      </c>
      <c r="K45" s="19">
        <f t="shared" si="4"/>
        <v>2197000000</v>
      </c>
      <c r="L45" s="19">
        <f t="shared" si="5"/>
        <v>-19012000000</v>
      </c>
      <c r="M45" s="20">
        <f t="shared" si="3"/>
        <v>0</v>
      </c>
    </row>
    <row r="46" spans="2:13" x14ac:dyDescent="0.45">
      <c r="B46" t="s">
        <v>221</v>
      </c>
      <c r="C46" t="s">
        <v>222</v>
      </c>
      <c r="D46" s="11">
        <v>431000000</v>
      </c>
      <c r="E46" s="11">
        <v>-4619000000</v>
      </c>
      <c r="F46" s="11">
        <v>2468000000</v>
      </c>
      <c r="G46" s="11">
        <v>2582000000</v>
      </c>
      <c r="H46" s="19">
        <f t="shared" si="2"/>
        <v>5050000000</v>
      </c>
      <c r="I46" s="10" t="s">
        <v>223</v>
      </c>
      <c r="J46" s="7">
        <f t="shared" si="6"/>
        <v>0.16486486486486496</v>
      </c>
      <c r="K46" s="19">
        <f t="shared" si="4"/>
        <v>2258000000</v>
      </c>
      <c r="L46" s="19">
        <f t="shared" si="5"/>
        <v>-19101000000</v>
      </c>
      <c r="M46" s="20">
        <f t="shared" si="3"/>
        <v>0</v>
      </c>
    </row>
    <row r="47" spans="2:13" x14ac:dyDescent="0.45">
      <c r="B47" t="s">
        <v>224</v>
      </c>
      <c r="C47" t="s">
        <v>225</v>
      </c>
      <c r="D47" s="11">
        <v>443000000</v>
      </c>
      <c r="E47" s="11">
        <v>-4129000000</v>
      </c>
      <c r="F47" s="11">
        <v>1970000000</v>
      </c>
      <c r="G47" s="11">
        <v>2602000000</v>
      </c>
      <c r="H47" s="19">
        <f t="shared" si="2"/>
        <v>4572000000</v>
      </c>
      <c r="I47" s="10" t="s">
        <v>42</v>
      </c>
      <c r="J47" s="7">
        <f t="shared" si="6"/>
        <v>-5.7446808510638325E-2</v>
      </c>
      <c r="K47" s="19">
        <f t="shared" si="4"/>
        <v>2231000000</v>
      </c>
      <c r="L47" s="19">
        <f t="shared" si="5"/>
        <v>-18798000000</v>
      </c>
      <c r="M47" s="20">
        <f t="shared" si="3"/>
        <v>0</v>
      </c>
    </row>
    <row r="49" spans="2:5" ht="15.75" x14ac:dyDescent="0.5">
      <c r="B49" s="4" t="s">
        <v>226</v>
      </c>
    </row>
    <row r="51" spans="2:5" x14ac:dyDescent="0.45">
      <c r="B51" t="s">
        <v>227</v>
      </c>
      <c r="D51" s="19">
        <f>D12-D20</f>
        <v>955000000</v>
      </c>
      <c r="E51" s="10" t="s">
        <v>228</v>
      </c>
    </row>
    <row r="52" spans="2:5" x14ac:dyDescent="0.45">
      <c r="B52" t="s">
        <v>229</v>
      </c>
      <c r="D52" s="19">
        <f>E12-E20</f>
        <v>-6022000000</v>
      </c>
      <c r="E52" s="10" t="s">
        <v>228</v>
      </c>
    </row>
    <row r="53" spans="2:5" x14ac:dyDescent="0.45">
      <c r="B53" t="s">
        <v>230</v>
      </c>
      <c r="D53" s="19">
        <f>D21+Q4rev_25*D21/D20</f>
        <v>2249306709.2651758</v>
      </c>
      <c r="E53" s="10" t="s">
        <v>231</v>
      </c>
    </row>
    <row r="54" spans="2:5" x14ac:dyDescent="0.45">
      <c r="B54" t="s">
        <v>232</v>
      </c>
      <c r="D54" s="19">
        <f>E21+Q4oi_25*E21/E20</f>
        <v>-18615942221.54734</v>
      </c>
      <c r="E54" s="10" t="s">
        <v>233</v>
      </c>
    </row>
    <row r="55" spans="2:5" x14ac:dyDescent="0.45">
      <c r="B55" t="s">
        <v>234</v>
      </c>
      <c r="D55" s="19">
        <f>Rev_26-Oi_26</f>
        <v>20865248930.812515</v>
      </c>
      <c r="E55" s="10" t="s">
        <v>235</v>
      </c>
    </row>
    <row r="56" spans="2:5" x14ac:dyDescent="0.45">
      <c r="B56" t="s">
        <v>236</v>
      </c>
      <c r="D56" s="7">
        <f>Oi_26/E12-1</f>
        <v>-3.0066054210006743E-2</v>
      </c>
      <c r="E56" s="10" t="s">
        <v>237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48"/>
  <sheetViews>
    <sheetView workbookViewId="0"/>
  </sheetViews>
  <sheetFormatPr defaultRowHeight="14.25" x14ac:dyDescent="0.45"/>
  <cols>
    <col min="1" max="1" width="2" customWidth="1"/>
    <col min="2" max="2" width="40" customWidth="1"/>
    <col min="3" max="5" width="14" customWidth="1"/>
    <col min="6" max="6" width="12" customWidth="1"/>
    <col min="7" max="8" width="14" customWidth="1"/>
    <col min="9" max="9" width="70" customWidth="1"/>
  </cols>
  <sheetData>
    <row r="1" spans="2:8" ht="18" x14ac:dyDescent="0.55000000000000004">
      <c r="B1" s="1" t="s">
        <v>238</v>
      </c>
    </row>
    <row r="2" spans="2:8" x14ac:dyDescent="0.45">
      <c r="B2" s="2" t="s">
        <v>239</v>
      </c>
    </row>
    <row r="4" spans="2:8" x14ac:dyDescent="0.45">
      <c r="B4" s="5" t="s">
        <v>145</v>
      </c>
      <c r="C4" s="5" t="s">
        <v>146</v>
      </c>
      <c r="D4" s="5" t="s">
        <v>240</v>
      </c>
      <c r="E4" s="5" t="s">
        <v>241</v>
      </c>
      <c r="F4" s="5" t="s">
        <v>242</v>
      </c>
      <c r="G4" s="5" t="s">
        <v>243</v>
      </c>
      <c r="H4" s="5" t="s">
        <v>244</v>
      </c>
    </row>
    <row r="5" spans="2:8" x14ac:dyDescent="0.45">
      <c r="B5" t="s">
        <v>245</v>
      </c>
      <c r="C5" s="19">
        <f>History!D6</f>
        <v>501000000</v>
      </c>
      <c r="D5" s="19">
        <f>History!E6</f>
        <v>-4503000000</v>
      </c>
      <c r="E5" s="19">
        <f t="shared" ref="E5:E12" si="0">D5*(1-L_tax)</f>
        <v>-3557370000</v>
      </c>
      <c r="F5" s="21">
        <f>(1+L_r)^(2026-2019)</f>
        <v>1.9487171000000012</v>
      </c>
      <c r="G5" s="19">
        <f t="shared" ref="G5:G12" si="1">E5*F5</f>
        <v>-6932307750.0270042</v>
      </c>
      <c r="H5" s="22">
        <f t="shared" ref="H5:H12" si="2">-C5/D5</f>
        <v>0.11125916055962691</v>
      </c>
    </row>
    <row r="6" spans="2:8" x14ac:dyDescent="0.45">
      <c r="B6" t="s">
        <v>246</v>
      </c>
      <c r="C6" s="19">
        <f>History!D7</f>
        <v>1139000000</v>
      </c>
      <c r="D6" s="19">
        <f>History!E7</f>
        <v>-6623000000</v>
      </c>
      <c r="E6" s="19">
        <f t="shared" si="0"/>
        <v>-5232170000</v>
      </c>
      <c r="F6" s="21">
        <f>(1+L_r)^(2026-2020)</f>
        <v>1.7715610000000008</v>
      </c>
      <c r="G6" s="19">
        <f t="shared" si="1"/>
        <v>-9269108317.3700047</v>
      </c>
      <c r="H6" s="22">
        <f t="shared" si="2"/>
        <v>0.17197644571946247</v>
      </c>
    </row>
    <row r="7" spans="2:8" x14ac:dyDescent="0.45">
      <c r="B7" t="s">
        <v>247</v>
      </c>
      <c r="C7" s="19">
        <f>History!D8</f>
        <v>2274000000</v>
      </c>
      <c r="D7" s="19">
        <f>History!E8</f>
        <v>-10193000000</v>
      </c>
      <c r="E7" s="19">
        <f t="shared" si="0"/>
        <v>-8052470000</v>
      </c>
      <c r="F7" s="21">
        <f>(1+L_r)^(2026-2021)</f>
        <v>1.6105100000000006</v>
      </c>
      <c r="G7" s="19">
        <f t="shared" si="1"/>
        <v>-12968583459.700005</v>
      </c>
      <c r="H7" s="22">
        <f t="shared" si="2"/>
        <v>0.2230942803885019</v>
      </c>
    </row>
    <row r="8" spans="2:8" x14ac:dyDescent="0.45">
      <c r="B8" t="s">
        <v>248</v>
      </c>
      <c r="C8" s="19">
        <f>History!D9</f>
        <v>2159000000</v>
      </c>
      <c r="D8" s="19">
        <f>History!E9</f>
        <v>-13717000000</v>
      </c>
      <c r="E8" s="19">
        <f t="shared" si="0"/>
        <v>-10836430000</v>
      </c>
      <c r="F8" s="21">
        <f>(1+L_r)^(2026-2022)</f>
        <v>1.4641000000000004</v>
      </c>
      <c r="G8" s="19">
        <f t="shared" si="1"/>
        <v>-15865617163.000004</v>
      </c>
      <c r="H8" s="22">
        <f t="shared" si="2"/>
        <v>0.1573959320551141</v>
      </c>
    </row>
    <row r="9" spans="2:8" x14ac:dyDescent="0.45">
      <c r="B9" t="s">
        <v>249</v>
      </c>
      <c r="C9" s="19">
        <f>History!D10</f>
        <v>1896000000</v>
      </c>
      <c r="D9" s="19">
        <f>History!E10</f>
        <v>-16120000000</v>
      </c>
      <c r="E9" s="19">
        <f t="shared" si="0"/>
        <v>-12734800000</v>
      </c>
      <c r="F9" s="21">
        <f>(1+L_r)^(2026-2023)</f>
        <v>1.3310000000000004</v>
      </c>
      <c r="G9" s="19">
        <f t="shared" si="1"/>
        <v>-16950018800.000006</v>
      </c>
      <c r="H9" s="22">
        <f t="shared" si="2"/>
        <v>0.11761786600496278</v>
      </c>
    </row>
    <row r="10" spans="2:8" x14ac:dyDescent="0.45">
      <c r="B10" t="s">
        <v>250</v>
      </c>
      <c r="C10" s="19">
        <f>History!D11</f>
        <v>2146000000</v>
      </c>
      <c r="D10" s="19">
        <f>History!E11</f>
        <v>-17729000000</v>
      </c>
      <c r="E10" s="19">
        <f t="shared" si="0"/>
        <v>-14005910000</v>
      </c>
      <c r="F10" s="21">
        <f>(1+L_r)^(2026-2024)</f>
        <v>1.2100000000000002</v>
      </c>
      <c r="G10" s="19">
        <f t="shared" si="1"/>
        <v>-16947151100.000002</v>
      </c>
      <c r="H10" s="22">
        <f t="shared" si="2"/>
        <v>0.12104461616560437</v>
      </c>
    </row>
    <row r="11" spans="2:8" x14ac:dyDescent="0.45">
      <c r="B11" t="s">
        <v>251</v>
      </c>
      <c r="C11" s="19">
        <f>History!D12</f>
        <v>2207000000</v>
      </c>
      <c r="D11" s="19">
        <f>History!E12</f>
        <v>-19193000000</v>
      </c>
      <c r="E11" s="19">
        <f t="shared" si="0"/>
        <v>-15162470000</v>
      </c>
      <c r="F11" s="21">
        <f>(1+L_r)^(2026-2025)</f>
        <v>1.1000000000000001</v>
      </c>
      <c r="G11" s="19">
        <f t="shared" si="1"/>
        <v>-16678717000.000002</v>
      </c>
      <c r="H11" s="22">
        <f t="shared" si="2"/>
        <v>0.11498984004585006</v>
      </c>
    </row>
    <row r="12" spans="2:8" x14ac:dyDescent="0.45">
      <c r="B12" t="s">
        <v>252</v>
      </c>
      <c r="C12" s="19">
        <f>Rev_26</f>
        <v>2249306709.2651758</v>
      </c>
      <c r="D12" s="19">
        <f>Oi_26</f>
        <v>-18615942221.54734</v>
      </c>
      <c r="E12" s="19">
        <f t="shared" si="0"/>
        <v>-14706594355.0224</v>
      </c>
      <c r="F12" s="21">
        <f>(1+L_r)^(2026-2026)</f>
        <v>1</v>
      </c>
      <c r="G12" s="19">
        <f t="shared" si="1"/>
        <v>-14706594355.0224</v>
      </c>
      <c r="H12" s="22">
        <f t="shared" si="2"/>
        <v>0.12082690644912281</v>
      </c>
    </row>
    <row r="13" spans="2:8" x14ac:dyDescent="0.45">
      <c r="B13" s="23" t="s">
        <v>253</v>
      </c>
      <c r="C13" s="24">
        <f>SUM(C5:C12)</f>
        <v>14571306709.265175</v>
      </c>
      <c r="D13" s="24">
        <f>SUM(D5:D12)</f>
        <v>-106693942221.54733</v>
      </c>
      <c r="E13" s="24">
        <f>SUM(E5:E12)</f>
        <v>-84288214355.0224</v>
      </c>
      <c r="G13" s="24">
        <f>SUM(G5:G12)</f>
        <v>-110318097945.11943</v>
      </c>
    </row>
    <row r="15" spans="2:8" x14ac:dyDescent="0.45">
      <c r="B15" s="40" t="s">
        <v>254</v>
      </c>
      <c r="C15" s="40"/>
      <c r="D15" s="40"/>
      <c r="E15" s="40"/>
      <c r="F15" s="19">
        <f>SUM(History!E6:E12)+History!E21</f>
        <v>-100853000000</v>
      </c>
    </row>
    <row r="16" spans="2:8" x14ac:dyDescent="0.45">
      <c r="B16" s="40" t="s">
        <v>255</v>
      </c>
      <c r="C16" s="40"/>
      <c r="D16" s="40"/>
      <c r="E16" s="40"/>
      <c r="F16" s="19">
        <f>SUM(History!D6:D12)+History!D21</f>
        <v>13598000000</v>
      </c>
    </row>
    <row r="17" spans="2:9" x14ac:dyDescent="0.45">
      <c r="B17" s="40" t="s">
        <v>256</v>
      </c>
      <c r="C17" s="40"/>
      <c r="D17" s="40"/>
      <c r="E17" s="40"/>
      <c r="F17" s="19">
        <f>-LbCarried*L_r</f>
        <v>11031809794.511944</v>
      </c>
    </row>
    <row r="18" spans="2:9" x14ac:dyDescent="0.45">
      <c r="B18" s="40" t="s">
        <v>257</v>
      </c>
      <c r="C18" s="40"/>
      <c r="D18" s="40"/>
      <c r="E18" s="40"/>
      <c r="F18" s="19">
        <f>History!L47*(1-L_tax)</f>
        <v>-14850420000</v>
      </c>
    </row>
    <row r="19" spans="2:9" x14ac:dyDescent="0.45">
      <c r="B19" s="40" t="s">
        <v>258</v>
      </c>
      <c r="C19" s="40"/>
      <c r="D19" s="40"/>
      <c r="E19" s="40"/>
      <c r="F19" s="19">
        <f>History!K47</f>
        <v>2231000000</v>
      </c>
    </row>
    <row r="20" spans="2:9" x14ac:dyDescent="0.45">
      <c r="B20" s="40" t="s">
        <v>259</v>
      </c>
      <c r="C20" s="40"/>
      <c r="D20" s="40"/>
      <c r="E20" s="40"/>
      <c r="F20" s="19">
        <f>SUM(History!E9:E12)</f>
        <v>-66759000000</v>
      </c>
    </row>
    <row r="21" spans="2:9" x14ac:dyDescent="0.45">
      <c r="B21" s="40" t="s">
        <v>260</v>
      </c>
      <c r="C21" s="40"/>
      <c r="D21" s="40"/>
      <c r="E21" s="40"/>
      <c r="F21" s="7">
        <f>History!D12/History!D8-1</f>
        <v>-2.9463500439753765E-2</v>
      </c>
    </row>
    <row r="22" spans="2:9" x14ac:dyDescent="0.45">
      <c r="B22" s="40" t="s">
        <v>261</v>
      </c>
      <c r="C22" s="40"/>
      <c r="D22" s="40"/>
      <c r="E22" s="40"/>
      <c r="F22" s="7">
        <f>History!F47/History!F43-1</f>
        <v>-0.24055512721665384</v>
      </c>
    </row>
    <row r="23" spans="2:9" x14ac:dyDescent="0.45">
      <c r="B23" s="40" t="s">
        <v>262</v>
      </c>
      <c r="C23" s="40"/>
      <c r="D23" s="40"/>
      <c r="E23" s="40"/>
      <c r="F23" s="7">
        <f>History!D21/History!D20-1</f>
        <v>1.9169329073482455E-2</v>
      </c>
    </row>
    <row r="24" spans="2:9" x14ac:dyDescent="0.45">
      <c r="B24" s="40" t="s">
        <v>263</v>
      </c>
      <c r="C24" s="40"/>
      <c r="D24" s="40"/>
      <c r="E24" s="40"/>
      <c r="F24" s="7">
        <f>History!E21/History!E20-1</f>
        <v>-3.0066054210006854E-2</v>
      </c>
    </row>
    <row r="25" spans="2:9" x14ac:dyDescent="0.45">
      <c r="B25" s="40" t="s">
        <v>264</v>
      </c>
      <c r="C25" s="40"/>
      <c r="D25" s="40"/>
      <c r="E25" s="40"/>
      <c r="F25" s="7">
        <f>-History!E12/History!K12</f>
        <v>0.18730542895900223</v>
      </c>
    </row>
    <row r="27" spans="2:9" ht="15.75" x14ac:dyDescent="0.5">
      <c r="B27" s="4" t="s">
        <v>265</v>
      </c>
    </row>
    <row r="28" spans="2:9" ht="28.5" x14ac:dyDescent="0.45">
      <c r="B28" s="5" t="s">
        <v>266</v>
      </c>
      <c r="C28" s="5" t="s">
        <v>267</v>
      </c>
      <c r="D28" s="5" t="s">
        <v>268</v>
      </c>
      <c r="E28" s="5" t="s">
        <v>269</v>
      </c>
      <c r="F28" s="5"/>
      <c r="G28" s="5"/>
      <c r="H28" s="5"/>
      <c r="I28" s="5" t="s">
        <v>270</v>
      </c>
    </row>
    <row r="29" spans="2:9" ht="45" customHeight="1" x14ac:dyDescent="0.45">
      <c r="B29" t="s">
        <v>271</v>
      </c>
      <c r="C29">
        <v>2022</v>
      </c>
      <c r="D29" s="19">
        <f>History!E9</f>
        <v>-13717000000</v>
      </c>
      <c r="E29" s="7">
        <f>History!E9/History!E8-1</f>
        <v>0.34572746002158339</v>
      </c>
      <c r="I29" s="14" t="s">
        <v>272</v>
      </c>
    </row>
    <row r="30" spans="2:9" ht="45" customHeight="1" x14ac:dyDescent="0.45">
      <c r="B30" t="s">
        <v>273</v>
      </c>
      <c r="C30">
        <v>2023</v>
      </c>
      <c r="D30" s="19">
        <f>History!E10</f>
        <v>-16120000000</v>
      </c>
      <c r="E30" s="7">
        <f>History!E10/History!E9-1</f>
        <v>0.1751840781511993</v>
      </c>
      <c r="I30" s="14" t="s">
        <v>274</v>
      </c>
    </row>
    <row r="31" spans="2:9" ht="45" customHeight="1" x14ac:dyDescent="0.45">
      <c r="B31" t="s">
        <v>275</v>
      </c>
      <c r="C31">
        <v>2024</v>
      </c>
      <c r="D31" s="19">
        <f>History!E11</f>
        <v>-17729000000</v>
      </c>
      <c r="E31" s="7">
        <f>History!E11/History!E10-1</f>
        <v>9.9813895781637685E-2</v>
      </c>
      <c r="I31" s="14" t="s">
        <v>276</v>
      </c>
    </row>
    <row r="32" spans="2:9" ht="45" customHeight="1" x14ac:dyDescent="0.45">
      <c r="B32" t="s">
        <v>277</v>
      </c>
      <c r="C32">
        <v>2025</v>
      </c>
      <c r="D32" s="19">
        <f>History!E12</f>
        <v>-19193000000</v>
      </c>
      <c r="E32" s="7">
        <f>History!E12/History!E11-1</f>
        <v>8.2576569462462723E-2</v>
      </c>
      <c r="I32" s="14" t="s">
        <v>278</v>
      </c>
    </row>
    <row r="33" spans="2:9" ht="45" customHeight="1" x14ac:dyDescent="0.45">
      <c r="B33" t="s">
        <v>279</v>
      </c>
      <c r="C33">
        <v>2026</v>
      </c>
      <c r="D33" s="19">
        <f>History!E21</f>
        <v>-12775000000</v>
      </c>
      <c r="E33" s="7">
        <f>History!E21/History!E20-1</f>
        <v>-3.0066054210006854E-2</v>
      </c>
      <c r="F33" s="10" t="s">
        <v>280</v>
      </c>
      <c r="I33" s="14" t="s">
        <v>281</v>
      </c>
    </row>
    <row r="35" spans="2:9" ht="15.75" x14ac:dyDescent="0.5">
      <c r="B35" s="4" t="s">
        <v>282</v>
      </c>
    </row>
    <row r="36" spans="2:9" ht="30" customHeight="1" x14ac:dyDescent="0.45">
      <c r="B36" t="s">
        <v>273</v>
      </c>
      <c r="C36">
        <v>2023</v>
      </c>
      <c r="I36" s="14" t="s">
        <v>283</v>
      </c>
    </row>
    <row r="37" spans="2:9" ht="30" customHeight="1" x14ac:dyDescent="0.45">
      <c r="B37" t="s">
        <v>275</v>
      </c>
      <c r="C37">
        <v>2024</v>
      </c>
      <c r="I37" s="14" t="s">
        <v>284</v>
      </c>
    </row>
    <row r="38" spans="2:9" ht="30" customHeight="1" x14ac:dyDescent="0.45">
      <c r="B38" t="s">
        <v>277</v>
      </c>
      <c r="C38">
        <v>2025</v>
      </c>
      <c r="I38" s="14" t="s">
        <v>285</v>
      </c>
    </row>
    <row r="39" spans="2:9" ht="30" customHeight="1" x14ac:dyDescent="0.45">
      <c r="B39" t="s">
        <v>279</v>
      </c>
      <c r="C39">
        <v>2026</v>
      </c>
      <c r="I39" s="14" t="s">
        <v>286</v>
      </c>
    </row>
    <row r="41" spans="2:9" ht="15.75" x14ac:dyDescent="0.5">
      <c r="B41" s="4" t="s">
        <v>287</v>
      </c>
    </row>
    <row r="42" spans="2:9" ht="30" customHeight="1" x14ac:dyDescent="0.45">
      <c r="B42" t="s">
        <v>288</v>
      </c>
      <c r="I42" s="14" t="s">
        <v>289</v>
      </c>
    </row>
    <row r="43" spans="2:9" ht="30" customHeight="1" x14ac:dyDescent="0.45">
      <c r="B43" t="s">
        <v>290</v>
      </c>
      <c r="I43" s="14" t="s">
        <v>291</v>
      </c>
    </row>
    <row r="44" spans="2:9" ht="30" customHeight="1" x14ac:dyDescent="0.45">
      <c r="B44" t="s">
        <v>292</v>
      </c>
      <c r="I44" s="14" t="s">
        <v>293</v>
      </c>
    </row>
    <row r="45" spans="2:9" ht="30" customHeight="1" x14ac:dyDescent="0.45">
      <c r="B45" t="s">
        <v>294</v>
      </c>
      <c r="I45" s="14" t="s">
        <v>295</v>
      </c>
    </row>
    <row r="46" spans="2:9" ht="30" customHeight="1" x14ac:dyDescent="0.45">
      <c r="B46" t="s">
        <v>296</v>
      </c>
      <c r="I46" s="14" t="s">
        <v>297</v>
      </c>
    </row>
    <row r="47" spans="2:9" ht="30" customHeight="1" x14ac:dyDescent="0.45">
      <c r="B47" t="s">
        <v>298</v>
      </c>
      <c r="I47" s="14" t="s">
        <v>299</v>
      </c>
    </row>
    <row r="48" spans="2:9" ht="30" customHeight="1" x14ac:dyDescent="0.45">
      <c r="B48" t="s">
        <v>300</v>
      </c>
      <c r="I48" s="14" t="s">
        <v>301</v>
      </c>
    </row>
  </sheetData>
  <mergeCells count="11">
    <mergeCell ref="B15:E15"/>
    <mergeCell ref="B25:E25"/>
    <mergeCell ref="B24:E24"/>
    <mergeCell ref="B19:E19"/>
    <mergeCell ref="B20:E20"/>
    <mergeCell ref="B22:E22"/>
    <mergeCell ref="B17:E17"/>
    <mergeCell ref="B18:E18"/>
    <mergeCell ref="B23:E23"/>
    <mergeCell ref="B21:E21"/>
    <mergeCell ref="B16:E1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8"/>
  <sheetViews>
    <sheetView workbookViewId="0">
      <pane xSplit="3" ySplit="7" topLeftCell="D8" activePane="bottomRight" state="frozen"/>
      <selection pane="topRight"/>
      <selection pane="bottomLeft"/>
      <selection pane="bottomRight"/>
    </sheetView>
  </sheetViews>
  <sheetFormatPr defaultRowHeight="14.25" x14ac:dyDescent="0.45"/>
  <cols>
    <col min="1" max="1" width="2" customWidth="1"/>
    <col min="2" max="2" width="46" customWidth="1"/>
    <col min="3" max="3" width="30" customWidth="1"/>
    <col min="4" max="15" width="11" customWidth="1"/>
  </cols>
  <sheetData>
    <row r="1" spans="2:15" ht="18" x14ac:dyDescent="0.55000000000000004">
      <c r="B1" s="1" t="s">
        <v>302</v>
      </c>
    </row>
    <row r="2" spans="2:15" x14ac:dyDescent="0.45">
      <c r="B2" s="2" t="s">
        <v>303</v>
      </c>
    </row>
    <row r="4" spans="2:15" x14ac:dyDescent="0.45">
      <c r="B4" s="23" t="s">
        <v>304</v>
      </c>
      <c r="C4" s="23" t="str">
        <f>Inputs!D5&amp;" · "&amp;Inputs!D6</f>
        <v>AI glasses only, half budget, gate in 2028 · Base</v>
      </c>
    </row>
    <row r="6" spans="2:15" x14ac:dyDescent="0.45">
      <c r="B6" s="23" t="s">
        <v>145</v>
      </c>
      <c r="D6" s="23">
        <v>2026</v>
      </c>
      <c r="E6" s="23">
        <v>2027</v>
      </c>
      <c r="F6" s="23">
        <v>2028</v>
      </c>
      <c r="G6" s="23">
        <v>2029</v>
      </c>
      <c r="H6" s="23">
        <v>2030</v>
      </c>
      <c r="I6" s="23">
        <v>2031</v>
      </c>
      <c r="J6" s="23">
        <v>2032</v>
      </c>
      <c r="K6" s="23">
        <v>2033</v>
      </c>
      <c r="L6" s="23">
        <v>2034</v>
      </c>
      <c r="M6" s="23">
        <v>2035</v>
      </c>
      <c r="N6" s="23">
        <v>2036</v>
      </c>
      <c r="O6" s="23" t="s">
        <v>305</v>
      </c>
    </row>
    <row r="7" spans="2:15" x14ac:dyDescent="0.45">
      <c r="B7" t="s">
        <v>306</v>
      </c>
      <c r="D7">
        <v>0</v>
      </c>
      <c r="E7">
        <f t="shared" ref="E7:N7" si="0">D7+1</f>
        <v>1</v>
      </c>
      <c r="F7">
        <f t="shared" si="0"/>
        <v>2</v>
      </c>
      <c r="G7">
        <f t="shared" si="0"/>
        <v>3</v>
      </c>
      <c r="H7">
        <f t="shared" si="0"/>
        <v>4</v>
      </c>
      <c r="I7">
        <f t="shared" si="0"/>
        <v>5</v>
      </c>
      <c r="J7">
        <f t="shared" si="0"/>
        <v>6</v>
      </c>
      <c r="K7">
        <f t="shared" si="0"/>
        <v>7</v>
      </c>
      <c r="L7">
        <f t="shared" si="0"/>
        <v>8</v>
      </c>
      <c r="M7">
        <f t="shared" si="0"/>
        <v>9</v>
      </c>
      <c r="N7">
        <f t="shared" si="0"/>
        <v>10</v>
      </c>
    </row>
    <row r="9" spans="2:15" x14ac:dyDescent="0.45">
      <c r="B9" s="25" t="s">
        <v>307</v>
      </c>
    </row>
    <row r="10" spans="2:15" x14ac:dyDescent="0.45">
      <c r="B10" s="26" t="s">
        <v>308</v>
      </c>
      <c r="C10" s="10" t="s">
        <v>309</v>
      </c>
      <c r="E10" s="7">
        <f t="shared" ref="E10:N10" si="1">IF(E7&lt;=5,L_g1,L_g1+(L_gT-L_g1)*(E7-5)/5)</f>
        <v>0.35</v>
      </c>
      <c r="F10" s="7">
        <f t="shared" si="1"/>
        <v>0.35</v>
      </c>
      <c r="G10" s="7">
        <f t="shared" si="1"/>
        <v>0.35</v>
      </c>
      <c r="H10" s="7">
        <f t="shared" si="1"/>
        <v>0.35</v>
      </c>
      <c r="I10" s="7">
        <f t="shared" si="1"/>
        <v>0.35</v>
      </c>
      <c r="J10" s="7">
        <f t="shared" si="1"/>
        <v>0.28599999999999998</v>
      </c>
      <c r="K10" s="7">
        <f t="shared" si="1"/>
        <v>0.222</v>
      </c>
      <c r="L10" s="7">
        <f t="shared" si="1"/>
        <v>0.158</v>
      </c>
      <c r="M10" s="7">
        <f t="shared" si="1"/>
        <v>9.4000000000000028E-2</v>
      </c>
      <c r="N10" s="7">
        <f t="shared" si="1"/>
        <v>3.0000000000000027E-2</v>
      </c>
    </row>
    <row r="11" spans="2:15" x14ac:dyDescent="0.45">
      <c r="B11" s="26" t="s">
        <v>310</v>
      </c>
      <c r="C11" s="10" t="s">
        <v>311</v>
      </c>
      <c r="D11" s="19">
        <f>Rev_26*L_s</f>
        <v>1124653354.6325879</v>
      </c>
      <c r="E11" s="19">
        <f t="shared" ref="E11:N11" si="2">D11*(1+E10)</f>
        <v>1518282028.7539937</v>
      </c>
      <c r="F11" s="19">
        <f t="shared" si="2"/>
        <v>2049680738.8178916</v>
      </c>
      <c r="G11" s="19">
        <f t="shared" si="2"/>
        <v>2767068997.4041538</v>
      </c>
      <c r="H11" s="19">
        <f t="shared" si="2"/>
        <v>3735543146.4956079</v>
      </c>
      <c r="I11" s="19">
        <f t="shared" si="2"/>
        <v>5042983247.7690706</v>
      </c>
      <c r="J11" s="19">
        <f t="shared" si="2"/>
        <v>6485276456.6310253</v>
      </c>
      <c r="K11" s="19">
        <f t="shared" si="2"/>
        <v>7925007830.0031128</v>
      </c>
      <c r="L11" s="19">
        <f t="shared" si="2"/>
        <v>9177159067.1436043</v>
      </c>
      <c r="M11" s="19">
        <f t="shared" si="2"/>
        <v>10039812019.455103</v>
      </c>
      <c r="N11" s="19">
        <f t="shared" si="2"/>
        <v>10341006380.038755</v>
      </c>
    </row>
    <row r="12" spans="2:15" x14ac:dyDescent="0.45">
      <c r="B12" s="26" t="s">
        <v>312</v>
      </c>
      <c r="C12" s="10" t="s">
        <v>313</v>
      </c>
      <c r="D12" s="19">
        <f>Rev_26*(1-L_s)</f>
        <v>1124653354.6325879</v>
      </c>
      <c r="E12" s="19">
        <f t="shared" ref="E12:N12" si="3">D12*(1+L_q)</f>
        <v>955955351.43769968</v>
      </c>
      <c r="F12" s="19">
        <f t="shared" si="3"/>
        <v>812562048.72204471</v>
      </c>
      <c r="G12" s="19">
        <f t="shared" si="3"/>
        <v>690677741.41373801</v>
      </c>
      <c r="H12" s="19">
        <f t="shared" si="3"/>
        <v>587076080.20167732</v>
      </c>
      <c r="I12" s="19">
        <f t="shared" si="3"/>
        <v>499014668.1714257</v>
      </c>
      <c r="J12" s="19">
        <f t="shared" si="3"/>
        <v>424162467.94571185</v>
      </c>
      <c r="K12" s="19">
        <f t="shared" si="3"/>
        <v>360538097.75385505</v>
      </c>
      <c r="L12" s="19">
        <f t="shared" si="3"/>
        <v>306457383.0907768</v>
      </c>
      <c r="M12" s="19">
        <f t="shared" si="3"/>
        <v>260488775.62716028</v>
      </c>
      <c r="N12" s="19">
        <f t="shared" si="3"/>
        <v>221415459.28308624</v>
      </c>
    </row>
    <row r="13" spans="2:15" x14ac:dyDescent="0.45">
      <c r="B13" s="26" t="s">
        <v>314</v>
      </c>
      <c r="C13" s="10" t="s">
        <v>315</v>
      </c>
      <c r="D13" s="19">
        <f>Cost_26*L_w-Rg_0*(1-L_cm)</f>
        <v>13705951567.86269</v>
      </c>
      <c r="E13" s="19">
        <f t="shared" ref="E13:N13" si="4">Fw*IF(Fl_capped=1,L_cap,1)*(1+L_e)^E7</f>
        <v>6852975783.931345</v>
      </c>
      <c r="F13" s="19">
        <f t="shared" si="4"/>
        <v>6852975783.931345</v>
      </c>
      <c r="G13" s="19">
        <f t="shared" si="4"/>
        <v>6852975783.931345</v>
      </c>
      <c r="H13" s="19">
        <f t="shared" si="4"/>
        <v>6852975783.931345</v>
      </c>
      <c r="I13" s="19">
        <f t="shared" si="4"/>
        <v>6852975783.931345</v>
      </c>
      <c r="J13" s="19">
        <f t="shared" si="4"/>
        <v>6852975783.931345</v>
      </c>
      <c r="K13" s="19">
        <f t="shared" si="4"/>
        <v>6852975783.931345</v>
      </c>
      <c r="L13" s="19">
        <f t="shared" si="4"/>
        <v>6852975783.931345</v>
      </c>
      <c r="M13" s="19">
        <f t="shared" si="4"/>
        <v>6852975783.931345</v>
      </c>
      <c r="N13" s="19">
        <f t="shared" si="4"/>
        <v>6852975783.931345</v>
      </c>
    </row>
    <row r="14" spans="2:15" x14ac:dyDescent="0.45">
      <c r="B14" s="26" t="s">
        <v>316</v>
      </c>
      <c r="C14" s="10" t="s">
        <v>317</v>
      </c>
      <c r="D14" s="19">
        <f>Cost_26*(1-L_w)-Rq_0*(1-L_cm)</f>
        <v>5359851995.5376854</v>
      </c>
      <c r="E14" s="19">
        <f t="shared" ref="E14:N14" si="5">Fv*(1+L_e)^E7</f>
        <v>5359851995.5376854</v>
      </c>
      <c r="F14" s="19">
        <f t="shared" si="5"/>
        <v>5359851995.5376854</v>
      </c>
      <c r="G14" s="19">
        <f t="shared" si="5"/>
        <v>5359851995.5376854</v>
      </c>
      <c r="H14" s="19">
        <f t="shared" si="5"/>
        <v>5359851995.5376854</v>
      </c>
      <c r="I14" s="19">
        <f t="shared" si="5"/>
        <v>5359851995.5376854</v>
      </c>
      <c r="J14" s="19">
        <f t="shared" si="5"/>
        <v>5359851995.5376854</v>
      </c>
      <c r="K14" s="19">
        <f t="shared" si="5"/>
        <v>5359851995.5376854</v>
      </c>
      <c r="L14" s="19">
        <f t="shared" si="5"/>
        <v>5359851995.5376854</v>
      </c>
      <c r="M14" s="19">
        <f t="shared" si="5"/>
        <v>5359851995.5376854</v>
      </c>
      <c r="N14" s="19">
        <f t="shared" si="5"/>
        <v>5359851995.5376854</v>
      </c>
    </row>
    <row r="16" spans="2:15" x14ac:dyDescent="0.45">
      <c r="B16" s="25" t="s">
        <v>318</v>
      </c>
    </row>
    <row r="17" spans="2:14" x14ac:dyDescent="0.45">
      <c r="B17" s="26" t="s">
        <v>319</v>
      </c>
      <c r="C17" s="10"/>
      <c r="E17" s="19">
        <f t="shared" ref="E17:N17" si="6">Fl_gl*E11+Fl_vr*E12</f>
        <v>1518282028.7539937</v>
      </c>
      <c r="F17" s="19">
        <f t="shared" si="6"/>
        <v>2049680738.8178916</v>
      </c>
      <c r="G17" s="19">
        <f t="shared" si="6"/>
        <v>2767068997.4041538</v>
      </c>
      <c r="H17" s="19">
        <f t="shared" si="6"/>
        <v>3735543146.4956079</v>
      </c>
      <c r="I17" s="19">
        <f t="shared" si="6"/>
        <v>5042983247.7690706</v>
      </c>
      <c r="J17" s="19">
        <f t="shared" si="6"/>
        <v>6485276456.6310253</v>
      </c>
      <c r="K17" s="19">
        <f t="shared" si="6"/>
        <v>7925007830.0031128</v>
      </c>
      <c r="L17" s="19">
        <f t="shared" si="6"/>
        <v>9177159067.1436043</v>
      </c>
      <c r="M17" s="19">
        <f t="shared" si="6"/>
        <v>10039812019.455103</v>
      </c>
      <c r="N17" s="19">
        <f t="shared" si="6"/>
        <v>10341006380.038755</v>
      </c>
    </row>
    <row r="18" spans="2:14" x14ac:dyDescent="0.45">
      <c r="B18" s="26" t="s">
        <v>320</v>
      </c>
      <c r="C18" s="10"/>
      <c r="E18" s="19">
        <f t="shared" ref="E18:N18" si="7">E17*L_cm</f>
        <v>303656405.75079876</v>
      </c>
      <c r="F18" s="19">
        <f t="shared" si="7"/>
        <v>409936147.76357836</v>
      </c>
      <c r="G18" s="19">
        <f t="shared" si="7"/>
        <v>553413799.48083079</v>
      </c>
      <c r="H18" s="19">
        <f t="shared" si="7"/>
        <v>747108629.29912162</v>
      </c>
      <c r="I18" s="19">
        <f t="shared" si="7"/>
        <v>1008596649.5538142</v>
      </c>
      <c r="J18" s="19">
        <f t="shared" si="7"/>
        <v>1297055291.3262053</v>
      </c>
      <c r="K18" s="19">
        <f t="shared" si="7"/>
        <v>1585001566.0006227</v>
      </c>
      <c r="L18" s="19">
        <f t="shared" si="7"/>
        <v>1835431813.428721</v>
      </c>
      <c r="M18" s="19">
        <f t="shared" si="7"/>
        <v>2007962403.8910208</v>
      </c>
      <c r="N18" s="19">
        <f t="shared" si="7"/>
        <v>2068201276.0077512</v>
      </c>
    </row>
    <row r="19" spans="2:14" x14ac:dyDescent="0.45">
      <c r="B19" s="26" t="s">
        <v>321</v>
      </c>
      <c r="C19" s="10"/>
      <c r="E19" s="19">
        <f t="shared" ref="E19:N19" si="8">Fl_gl*E13+Fl_vr*E14</f>
        <v>6852975783.931345</v>
      </c>
      <c r="F19" s="19">
        <f t="shared" si="8"/>
        <v>6852975783.931345</v>
      </c>
      <c r="G19" s="19">
        <f t="shared" si="8"/>
        <v>6852975783.931345</v>
      </c>
      <c r="H19" s="19">
        <f t="shared" si="8"/>
        <v>6852975783.931345</v>
      </c>
      <c r="I19" s="19">
        <f t="shared" si="8"/>
        <v>6852975783.931345</v>
      </c>
      <c r="J19" s="19">
        <f t="shared" si="8"/>
        <v>6852975783.931345</v>
      </c>
      <c r="K19" s="19">
        <f t="shared" si="8"/>
        <v>6852975783.931345</v>
      </c>
      <c r="L19" s="19">
        <f t="shared" si="8"/>
        <v>6852975783.931345</v>
      </c>
      <c r="M19" s="19">
        <f t="shared" si="8"/>
        <v>6852975783.931345</v>
      </c>
      <c r="N19" s="19">
        <f t="shared" si="8"/>
        <v>6852975783.931345</v>
      </c>
    </row>
    <row r="20" spans="2:14" x14ac:dyDescent="0.45">
      <c r="B20" s="26" t="s">
        <v>322</v>
      </c>
      <c r="C20" s="10" t="s">
        <v>323</v>
      </c>
      <c r="E20" s="19">
        <f t="shared" ref="E20:N20" si="9">IF(E7=1,WD_1,0)</f>
        <v>3390602951.2570338</v>
      </c>
      <c r="F20" s="19">
        <f t="shared" si="9"/>
        <v>0</v>
      </c>
      <c r="G20" s="19">
        <f t="shared" si="9"/>
        <v>0</v>
      </c>
      <c r="H20" s="19">
        <f t="shared" si="9"/>
        <v>0</v>
      </c>
      <c r="I20" s="19">
        <f t="shared" si="9"/>
        <v>0</v>
      </c>
      <c r="J20" s="19">
        <f t="shared" si="9"/>
        <v>0</v>
      </c>
      <c r="K20" s="19">
        <f t="shared" si="9"/>
        <v>0</v>
      </c>
      <c r="L20" s="19">
        <f t="shared" si="9"/>
        <v>0</v>
      </c>
      <c r="M20" s="19">
        <f t="shared" si="9"/>
        <v>0</v>
      </c>
      <c r="N20" s="19">
        <f t="shared" si="9"/>
        <v>0</v>
      </c>
    </row>
    <row r="21" spans="2:14" x14ac:dyDescent="0.45">
      <c r="B21" s="26" t="s">
        <v>324</v>
      </c>
      <c r="C21" s="10" t="s">
        <v>325</v>
      </c>
      <c r="E21" s="19">
        <f t="shared" ref="E21:N21" si="10">(E18-E19-E20)*(1-L_tax)</f>
        <v>-7852538640.2556887</v>
      </c>
      <c r="F21" s="19">
        <f t="shared" si="10"/>
        <v>-5090001312.5725355</v>
      </c>
      <c r="G21" s="19">
        <f t="shared" si="10"/>
        <v>-4976653967.7159061</v>
      </c>
      <c r="H21" s="19">
        <f t="shared" si="10"/>
        <v>-4823635052.1594563</v>
      </c>
      <c r="I21" s="19">
        <f t="shared" si="10"/>
        <v>-4617059516.1582499</v>
      </c>
      <c r="J21" s="19">
        <f t="shared" si="10"/>
        <v>-4389177189.158061</v>
      </c>
      <c r="K21" s="19">
        <f t="shared" si="10"/>
        <v>-4161699632.1652708</v>
      </c>
      <c r="L21" s="19">
        <f t="shared" si="10"/>
        <v>-3963859736.6970735</v>
      </c>
      <c r="M21" s="19">
        <f t="shared" si="10"/>
        <v>-3827560570.2318563</v>
      </c>
      <c r="N21" s="19">
        <f t="shared" si="10"/>
        <v>-3779971861.2596393</v>
      </c>
    </row>
    <row r="22" spans="2:14" x14ac:dyDescent="0.45">
      <c r="B22" s="26" t="s">
        <v>326</v>
      </c>
      <c r="C22" s="10"/>
      <c r="E22" s="27">
        <f t="shared" ref="E22:N22" si="11">IF(E7&gt;L_gate,1/(1+L_r)^(E7-L_gate),0)</f>
        <v>0</v>
      </c>
      <c r="F22" s="27">
        <f t="shared" si="11"/>
        <v>0</v>
      </c>
      <c r="G22" s="27">
        <f t="shared" si="11"/>
        <v>0.90909090909090906</v>
      </c>
      <c r="H22" s="27">
        <f t="shared" si="11"/>
        <v>0.82644628099173545</v>
      </c>
      <c r="I22" s="27">
        <f t="shared" si="11"/>
        <v>0.75131480090157754</v>
      </c>
      <c r="J22" s="27">
        <f t="shared" si="11"/>
        <v>0.68301345536507052</v>
      </c>
      <c r="K22" s="27">
        <f t="shared" si="11"/>
        <v>0.62092132305915493</v>
      </c>
      <c r="L22" s="27">
        <f t="shared" si="11"/>
        <v>0.56447393005377722</v>
      </c>
      <c r="M22" s="27">
        <f t="shared" si="11"/>
        <v>0.51315811823070645</v>
      </c>
      <c r="N22" s="27">
        <f t="shared" si="11"/>
        <v>0.46650738020973315</v>
      </c>
    </row>
    <row r="24" spans="2:14" x14ac:dyDescent="0.45">
      <c r="B24" t="s">
        <v>327</v>
      </c>
      <c r="D24" s="8">
        <f>SUMPRODUCT(E21:N21,E22:N22)+IF(N21&gt;0,N21*(1+L_gT)/(L_r-L_gT),0)/(1+L_r)^(10-L_gate)</f>
        <v>-23526550434.201015</v>
      </c>
    </row>
    <row r="25" spans="2:14" x14ac:dyDescent="0.45">
      <c r="B25" t="s">
        <v>328</v>
      </c>
      <c r="D25" s="8">
        <f>-L_k*Cw*L_cap*(1-L_tax)/(1+L_r)</f>
        <v>-1311191211.2203772</v>
      </c>
    </row>
    <row r="26" spans="2:14" x14ac:dyDescent="0.45">
      <c r="B26" t="s">
        <v>329</v>
      </c>
      <c r="D26" s="28">
        <f>IF(Fl_gated=1,IF(ContV&gt;=StopV,1,0),1)</f>
        <v>0</v>
      </c>
    </row>
    <row r="27" spans="2:14" x14ac:dyDescent="0.45">
      <c r="B27" t="s">
        <v>330</v>
      </c>
      <c r="D27" s="19">
        <f>CHOOSE(OptEff,0,L_k*Cv,L_k*(Cv+Cw*(1-L_cap)),L_k*Cost_26)</f>
        <v>3390602951.2570338</v>
      </c>
    </row>
    <row r="28" spans="2:14" x14ac:dyDescent="0.45">
      <c r="B28" t="s">
        <v>331</v>
      </c>
      <c r="D28" s="19">
        <f>Cost_26*L_w</f>
        <v>14605674251.56876</v>
      </c>
    </row>
    <row r="29" spans="2:14" x14ac:dyDescent="0.45">
      <c r="B29" t="s">
        <v>332</v>
      </c>
      <c r="D29" s="19">
        <f>Cost_26*(1-L_w)</f>
        <v>6259574679.2437553</v>
      </c>
    </row>
    <row r="31" spans="2:14" x14ac:dyDescent="0.45">
      <c r="B31" s="26" t="s">
        <v>333</v>
      </c>
      <c r="C31" s="10" t="s">
        <v>334</v>
      </c>
      <c r="E31" s="28">
        <f t="shared" ref="E31:N31" si="12">IF(OR(Fl_gated=0,E7&lt;=L_gate,Cont=1),1,0)</f>
        <v>1</v>
      </c>
      <c r="F31" s="28">
        <f t="shared" si="12"/>
        <v>1</v>
      </c>
      <c r="G31" s="28">
        <f t="shared" si="12"/>
        <v>0</v>
      </c>
      <c r="H31" s="28">
        <f t="shared" si="12"/>
        <v>0</v>
      </c>
      <c r="I31" s="28">
        <f t="shared" si="12"/>
        <v>0</v>
      </c>
      <c r="J31" s="28">
        <f t="shared" si="12"/>
        <v>0</v>
      </c>
      <c r="K31" s="28">
        <f t="shared" si="12"/>
        <v>0</v>
      </c>
      <c r="L31" s="28">
        <f t="shared" si="12"/>
        <v>0</v>
      </c>
      <c r="M31" s="28">
        <f t="shared" si="12"/>
        <v>0</v>
      </c>
      <c r="N31" s="28">
        <f t="shared" si="12"/>
        <v>0</v>
      </c>
    </row>
    <row r="33" spans="2:15" x14ac:dyDescent="0.45">
      <c r="B33" s="25" t="s">
        <v>335</v>
      </c>
    </row>
    <row r="34" spans="2:15" x14ac:dyDescent="0.45">
      <c r="B34" s="23" t="s">
        <v>336</v>
      </c>
      <c r="C34" s="10" t="s">
        <v>337</v>
      </c>
      <c r="E34" s="19">
        <f t="shared" ref="E34:N34" si="13">E17*E31</f>
        <v>1518282028.7539937</v>
      </c>
      <c r="F34" s="19">
        <f t="shared" si="13"/>
        <v>2049680738.8178916</v>
      </c>
      <c r="G34" s="19">
        <f t="shared" si="13"/>
        <v>0</v>
      </c>
      <c r="H34" s="19">
        <f t="shared" si="13"/>
        <v>0</v>
      </c>
      <c r="I34" s="19">
        <f t="shared" si="13"/>
        <v>0</v>
      </c>
      <c r="J34" s="19">
        <f t="shared" si="13"/>
        <v>0</v>
      </c>
      <c r="K34" s="19">
        <f t="shared" si="13"/>
        <v>0</v>
      </c>
      <c r="L34" s="19">
        <f t="shared" si="13"/>
        <v>0</v>
      </c>
      <c r="M34" s="19">
        <f t="shared" si="13"/>
        <v>0</v>
      </c>
      <c r="N34" s="19">
        <f t="shared" si="13"/>
        <v>0</v>
      </c>
    </row>
    <row r="35" spans="2:15" x14ac:dyDescent="0.45">
      <c r="B35" s="26" t="s">
        <v>338</v>
      </c>
      <c r="C35" s="10"/>
      <c r="E35" s="19">
        <f t="shared" ref="E35:N35" si="14">Fl_gl*E11*E31</f>
        <v>1518282028.7539937</v>
      </c>
      <c r="F35" s="19">
        <f t="shared" si="14"/>
        <v>2049680738.8178916</v>
      </c>
      <c r="G35" s="19">
        <f t="shared" si="14"/>
        <v>0</v>
      </c>
      <c r="H35" s="19">
        <f t="shared" si="14"/>
        <v>0</v>
      </c>
      <c r="I35" s="19">
        <f t="shared" si="14"/>
        <v>0</v>
      </c>
      <c r="J35" s="19">
        <f t="shared" si="14"/>
        <v>0</v>
      </c>
      <c r="K35" s="19">
        <f t="shared" si="14"/>
        <v>0</v>
      </c>
      <c r="L35" s="19">
        <f t="shared" si="14"/>
        <v>0</v>
      </c>
      <c r="M35" s="19">
        <f t="shared" si="14"/>
        <v>0</v>
      </c>
      <c r="N35" s="19">
        <f t="shared" si="14"/>
        <v>0</v>
      </c>
    </row>
    <row r="36" spans="2:15" x14ac:dyDescent="0.45">
      <c r="B36" s="26" t="s">
        <v>339</v>
      </c>
      <c r="C36" s="10"/>
      <c r="E36" s="19">
        <f t="shared" ref="E36:N36" si="15">Fl_vr*E12*E31</f>
        <v>0</v>
      </c>
      <c r="F36" s="19">
        <f t="shared" si="15"/>
        <v>0</v>
      </c>
      <c r="G36" s="19">
        <f t="shared" si="15"/>
        <v>0</v>
      </c>
      <c r="H36" s="19">
        <f t="shared" si="15"/>
        <v>0</v>
      </c>
      <c r="I36" s="19">
        <f t="shared" si="15"/>
        <v>0</v>
      </c>
      <c r="J36" s="19">
        <f t="shared" si="15"/>
        <v>0</v>
      </c>
      <c r="K36" s="19">
        <f t="shared" si="15"/>
        <v>0</v>
      </c>
      <c r="L36" s="19">
        <f t="shared" si="15"/>
        <v>0</v>
      </c>
      <c r="M36" s="19">
        <f t="shared" si="15"/>
        <v>0</v>
      </c>
      <c r="N36" s="19">
        <f t="shared" si="15"/>
        <v>0</v>
      </c>
    </row>
    <row r="37" spans="2:15" x14ac:dyDescent="0.45">
      <c r="B37" s="26" t="s">
        <v>340</v>
      </c>
      <c r="C37" s="10" t="s">
        <v>341</v>
      </c>
      <c r="E37" s="19">
        <f t="shared" ref="E37:N37" si="16">E18*E31</f>
        <v>303656405.75079876</v>
      </c>
      <c r="F37" s="19">
        <f t="shared" si="16"/>
        <v>409936147.76357836</v>
      </c>
      <c r="G37" s="19">
        <f t="shared" si="16"/>
        <v>0</v>
      </c>
      <c r="H37" s="19">
        <f t="shared" si="16"/>
        <v>0</v>
      </c>
      <c r="I37" s="19">
        <f t="shared" si="16"/>
        <v>0</v>
      </c>
      <c r="J37" s="19">
        <f t="shared" si="16"/>
        <v>0</v>
      </c>
      <c r="K37" s="19">
        <f t="shared" si="16"/>
        <v>0</v>
      </c>
      <c r="L37" s="19">
        <f t="shared" si="16"/>
        <v>0</v>
      </c>
      <c r="M37" s="19">
        <f t="shared" si="16"/>
        <v>0</v>
      </c>
      <c r="N37" s="19">
        <f t="shared" si="16"/>
        <v>0</v>
      </c>
    </row>
    <row r="38" spans="2:15" x14ac:dyDescent="0.45">
      <c r="B38" s="26" t="s">
        <v>342</v>
      </c>
      <c r="C38" s="10"/>
      <c r="E38" s="19">
        <f t="shared" ref="E38:N38" si="17">E19*E31</f>
        <v>6852975783.931345</v>
      </c>
      <c r="F38" s="19">
        <f t="shared" si="17"/>
        <v>6852975783.931345</v>
      </c>
      <c r="G38" s="19">
        <f t="shared" si="17"/>
        <v>0</v>
      </c>
      <c r="H38" s="19">
        <f t="shared" si="17"/>
        <v>0</v>
      </c>
      <c r="I38" s="19">
        <f t="shared" si="17"/>
        <v>0</v>
      </c>
      <c r="J38" s="19">
        <f t="shared" si="17"/>
        <v>0</v>
      </c>
      <c r="K38" s="19">
        <f t="shared" si="17"/>
        <v>0</v>
      </c>
      <c r="L38" s="19">
        <f t="shared" si="17"/>
        <v>0</v>
      </c>
      <c r="M38" s="19">
        <f t="shared" si="17"/>
        <v>0</v>
      </c>
      <c r="N38" s="19">
        <f t="shared" si="17"/>
        <v>0</v>
      </c>
    </row>
    <row r="39" spans="2:15" x14ac:dyDescent="0.45">
      <c r="B39" s="26" t="s">
        <v>343</v>
      </c>
      <c r="C39" s="10"/>
      <c r="E39" s="19">
        <f t="shared" ref="E39:N39" si="18">E20+IF(AND(Fl_gated=1,Cont=0,E7=L_gate+1),L_k*Cw*L_cap,0)</f>
        <v>3390602951.2570338</v>
      </c>
      <c r="F39" s="19">
        <f t="shared" si="18"/>
        <v>0</v>
      </c>
      <c r="G39" s="19">
        <f t="shared" si="18"/>
        <v>1825709281.446095</v>
      </c>
      <c r="H39" s="19">
        <f t="shared" si="18"/>
        <v>0</v>
      </c>
      <c r="I39" s="19">
        <f t="shared" si="18"/>
        <v>0</v>
      </c>
      <c r="J39" s="19">
        <f t="shared" si="18"/>
        <v>0</v>
      </c>
      <c r="K39" s="19">
        <f t="shared" si="18"/>
        <v>0</v>
      </c>
      <c r="L39" s="19">
        <f t="shared" si="18"/>
        <v>0</v>
      </c>
      <c r="M39" s="19">
        <f t="shared" si="18"/>
        <v>0</v>
      </c>
      <c r="N39" s="19">
        <f t="shared" si="18"/>
        <v>0</v>
      </c>
    </row>
    <row r="40" spans="2:15" x14ac:dyDescent="0.45">
      <c r="B40" s="23" t="s">
        <v>344</v>
      </c>
      <c r="C40" s="10" t="s">
        <v>345</v>
      </c>
      <c r="E40" s="19">
        <f t="shared" ref="E40:N40" si="19">E37-E38-E39</f>
        <v>-9939922329.4375801</v>
      </c>
      <c r="F40" s="19">
        <f t="shared" si="19"/>
        <v>-6443039636.1677666</v>
      </c>
      <c r="G40" s="19">
        <f t="shared" si="19"/>
        <v>-1825709281.446095</v>
      </c>
      <c r="H40" s="19">
        <f t="shared" si="19"/>
        <v>0</v>
      </c>
      <c r="I40" s="19">
        <f t="shared" si="19"/>
        <v>0</v>
      </c>
      <c r="J40" s="19">
        <f t="shared" si="19"/>
        <v>0</v>
      </c>
      <c r="K40" s="19">
        <f t="shared" si="19"/>
        <v>0</v>
      </c>
      <c r="L40" s="19">
        <f t="shared" si="19"/>
        <v>0</v>
      </c>
      <c r="M40" s="19">
        <f t="shared" si="19"/>
        <v>0</v>
      </c>
      <c r="N40" s="19">
        <f t="shared" si="19"/>
        <v>0</v>
      </c>
    </row>
    <row r="41" spans="2:15" x14ac:dyDescent="0.45">
      <c r="B41" s="26" t="s">
        <v>346</v>
      </c>
      <c r="C41" s="10" t="s">
        <v>347</v>
      </c>
      <c r="E41" s="19">
        <f t="shared" ref="E41:N41" si="20">-E40*L_tax</f>
        <v>2087383689.1818917</v>
      </c>
      <c r="F41" s="19">
        <f t="shared" si="20"/>
        <v>1353038323.5952308</v>
      </c>
      <c r="G41" s="19">
        <f t="shared" si="20"/>
        <v>383398949.10367996</v>
      </c>
      <c r="H41" s="19">
        <f t="shared" si="20"/>
        <v>0</v>
      </c>
      <c r="I41" s="19">
        <f t="shared" si="20"/>
        <v>0</v>
      </c>
      <c r="J41" s="19">
        <f t="shared" si="20"/>
        <v>0</v>
      </c>
      <c r="K41" s="19">
        <f t="shared" si="20"/>
        <v>0</v>
      </c>
      <c r="L41" s="19">
        <f t="shared" si="20"/>
        <v>0</v>
      </c>
      <c r="M41" s="19">
        <f t="shared" si="20"/>
        <v>0</v>
      </c>
      <c r="N41" s="19">
        <f t="shared" si="20"/>
        <v>0</v>
      </c>
    </row>
    <row r="42" spans="2:15" x14ac:dyDescent="0.45">
      <c r="B42" s="26" t="s">
        <v>324</v>
      </c>
      <c r="C42" s="10"/>
      <c r="E42" s="19">
        <f t="shared" ref="E42:N42" si="21">E40+E41</f>
        <v>-7852538640.2556887</v>
      </c>
      <c r="F42" s="19">
        <f t="shared" si="21"/>
        <v>-5090001312.5725355</v>
      </c>
      <c r="G42" s="19">
        <f t="shared" si="21"/>
        <v>-1442310332.3424151</v>
      </c>
      <c r="H42" s="19">
        <f t="shared" si="21"/>
        <v>0</v>
      </c>
      <c r="I42" s="19">
        <f t="shared" si="21"/>
        <v>0</v>
      </c>
      <c r="J42" s="19">
        <f t="shared" si="21"/>
        <v>0</v>
      </c>
      <c r="K42" s="19">
        <f t="shared" si="21"/>
        <v>0</v>
      </c>
      <c r="L42" s="19">
        <f t="shared" si="21"/>
        <v>0</v>
      </c>
      <c r="M42" s="19">
        <f t="shared" si="21"/>
        <v>0</v>
      </c>
      <c r="N42" s="19">
        <f t="shared" si="21"/>
        <v>0</v>
      </c>
    </row>
    <row r="43" spans="2:15" x14ac:dyDescent="0.45">
      <c r="B43" s="26" t="s">
        <v>348</v>
      </c>
      <c r="C43" s="10" t="s">
        <v>349</v>
      </c>
      <c r="E43" s="19">
        <f t="shared" ref="E43:N43" si="22">IF(E7=1,-L_k*Cost_26*(1-L_tax),0)</f>
        <v>-4120886663.8354721</v>
      </c>
      <c r="F43" s="19">
        <f t="shared" si="22"/>
        <v>0</v>
      </c>
      <c r="G43" s="19">
        <f t="shared" si="22"/>
        <v>0</v>
      </c>
      <c r="H43" s="19">
        <f t="shared" si="22"/>
        <v>0</v>
      </c>
      <c r="I43" s="19">
        <f t="shared" si="22"/>
        <v>0</v>
      </c>
      <c r="J43" s="19">
        <f t="shared" si="22"/>
        <v>0</v>
      </c>
      <c r="K43" s="19">
        <f t="shared" si="22"/>
        <v>0</v>
      </c>
      <c r="L43" s="19">
        <f t="shared" si="22"/>
        <v>0</v>
      </c>
      <c r="M43" s="19">
        <f t="shared" si="22"/>
        <v>0</v>
      </c>
      <c r="N43" s="19">
        <f t="shared" si="22"/>
        <v>0</v>
      </c>
    </row>
    <row r="44" spans="2:15" x14ac:dyDescent="0.45">
      <c r="B44" s="23" t="s">
        <v>350</v>
      </c>
      <c r="C44" s="10" t="s">
        <v>351</v>
      </c>
      <c r="E44" s="19">
        <f t="shared" ref="E44:N44" si="23">E42-E43</f>
        <v>-3731651976.4202166</v>
      </c>
      <c r="F44" s="19">
        <f t="shared" si="23"/>
        <v>-5090001312.5725355</v>
      </c>
      <c r="G44" s="19">
        <f t="shared" si="23"/>
        <v>-1442310332.3424151</v>
      </c>
      <c r="H44" s="19">
        <f t="shared" si="23"/>
        <v>0</v>
      </c>
      <c r="I44" s="19">
        <f t="shared" si="23"/>
        <v>0</v>
      </c>
      <c r="J44" s="19">
        <f t="shared" si="23"/>
        <v>0</v>
      </c>
      <c r="K44" s="19">
        <f t="shared" si="23"/>
        <v>0</v>
      </c>
      <c r="L44" s="19">
        <f t="shared" si="23"/>
        <v>0</v>
      </c>
      <c r="M44" s="19">
        <f t="shared" si="23"/>
        <v>0</v>
      </c>
      <c r="N44" s="19">
        <f t="shared" si="23"/>
        <v>0</v>
      </c>
    </row>
    <row r="45" spans="2:15" x14ac:dyDescent="0.45">
      <c r="B45" s="26" t="s">
        <v>352</v>
      </c>
      <c r="C45" s="10"/>
      <c r="E45" s="19">
        <f>E44</f>
        <v>-3731651976.4202166</v>
      </c>
      <c r="F45" s="19">
        <f t="shared" ref="F45:N45" si="24">E45+F44</f>
        <v>-8821653288.9927521</v>
      </c>
      <c r="G45" s="19">
        <f t="shared" si="24"/>
        <v>-10263963621.335167</v>
      </c>
      <c r="H45" s="19">
        <f t="shared" si="24"/>
        <v>-10263963621.335167</v>
      </c>
      <c r="I45" s="19">
        <f t="shared" si="24"/>
        <v>-10263963621.335167</v>
      </c>
      <c r="J45" s="19">
        <f t="shared" si="24"/>
        <v>-10263963621.335167</v>
      </c>
      <c r="K45" s="19">
        <f t="shared" si="24"/>
        <v>-10263963621.335167</v>
      </c>
      <c r="L45" s="19">
        <f t="shared" si="24"/>
        <v>-10263963621.335167</v>
      </c>
      <c r="M45" s="19">
        <f t="shared" si="24"/>
        <v>-10263963621.335167</v>
      </c>
      <c r="N45" s="19">
        <f t="shared" si="24"/>
        <v>-10263963621.335167</v>
      </c>
    </row>
    <row r="46" spans="2:15" x14ac:dyDescent="0.45">
      <c r="B46" s="26" t="s">
        <v>353</v>
      </c>
      <c r="C46" s="10" t="s">
        <v>354</v>
      </c>
      <c r="E46" s="27">
        <f t="shared" ref="E46:N46" si="25">1/(1+L_r)^E7</f>
        <v>0.90909090909090906</v>
      </c>
      <c r="F46" s="27">
        <f t="shared" si="25"/>
        <v>0.82644628099173545</v>
      </c>
      <c r="G46" s="27">
        <f t="shared" si="25"/>
        <v>0.75131480090157754</v>
      </c>
      <c r="H46" s="27">
        <f t="shared" si="25"/>
        <v>0.68301345536507052</v>
      </c>
      <c r="I46" s="27">
        <f t="shared" si="25"/>
        <v>0.62092132305915493</v>
      </c>
      <c r="J46" s="27">
        <f t="shared" si="25"/>
        <v>0.56447393005377722</v>
      </c>
      <c r="K46" s="27">
        <f t="shared" si="25"/>
        <v>0.51315811823070645</v>
      </c>
      <c r="L46" s="27">
        <f t="shared" si="25"/>
        <v>0.46650738020973315</v>
      </c>
      <c r="M46" s="27">
        <f t="shared" si="25"/>
        <v>0.42409761837248466</v>
      </c>
      <c r="N46" s="27">
        <f t="shared" si="25"/>
        <v>0.38554328942953148</v>
      </c>
    </row>
    <row r="47" spans="2:15" x14ac:dyDescent="0.45">
      <c r="B47" s="26" t="s">
        <v>355</v>
      </c>
      <c r="C47" s="10"/>
      <c r="E47" s="19">
        <f t="shared" ref="E47:N47" si="26">E44*E46</f>
        <v>-3392410887.6547422</v>
      </c>
      <c r="F47" s="19">
        <f t="shared" si="26"/>
        <v>-4206612655.0186238</v>
      </c>
      <c r="G47" s="19">
        <f t="shared" si="26"/>
        <v>-1083629100.1821296</v>
      </c>
      <c r="H47" s="19">
        <f t="shared" si="26"/>
        <v>0</v>
      </c>
      <c r="I47" s="19">
        <f t="shared" si="26"/>
        <v>0</v>
      </c>
      <c r="J47" s="19">
        <f t="shared" si="26"/>
        <v>0</v>
      </c>
      <c r="K47" s="19">
        <f t="shared" si="26"/>
        <v>0</v>
      </c>
      <c r="L47" s="19">
        <f t="shared" si="26"/>
        <v>0</v>
      </c>
      <c r="M47" s="19">
        <f t="shared" si="26"/>
        <v>0</v>
      </c>
      <c r="N47" s="19">
        <f t="shared" si="26"/>
        <v>0</v>
      </c>
    </row>
    <row r="48" spans="2:15" x14ac:dyDescent="0.45">
      <c r="B48" t="s">
        <v>356</v>
      </c>
      <c r="C48" s="10" t="s">
        <v>357</v>
      </c>
      <c r="O48" s="19">
        <f>IF(N44&gt;0,N44*(1+L_gT)/(L_r-L_gT),0)</f>
        <v>0</v>
      </c>
    </row>
    <row r="49" spans="2:14" x14ac:dyDescent="0.45">
      <c r="B49" s="26" t="s">
        <v>358</v>
      </c>
      <c r="C49" s="10" t="s">
        <v>359</v>
      </c>
      <c r="E49" s="19">
        <f t="shared" ref="E49:M49" si="27">E44</f>
        <v>-3731651976.4202166</v>
      </c>
      <c r="F49" s="19">
        <f t="shared" si="27"/>
        <v>-5090001312.5725355</v>
      </c>
      <c r="G49" s="19">
        <f t="shared" si="27"/>
        <v>-1442310332.3424151</v>
      </c>
      <c r="H49" s="19">
        <f t="shared" si="27"/>
        <v>0</v>
      </c>
      <c r="I49" s="19">
        <f t="shared" si="27"/>
        <v>0</v>
      </c>
      <c r="J49" s="19">
        <f t="shared" si="27"/>
        <v>0</v>
      </c>
      <c r="K49" s="19">
        <f t="shared" si="27"/>
        <v>0</v>
      </c>
      <c r="L49" s="19">
        <f t="shared" si="27"/>
        <v>0</v>
      </c>
      <c r="M49" s="19">
        <f t="shared" si="27"/>
        <v>0</v>
      </c>
      <c r="N49" s="19">
        <f>N44+TV</f>
        <v>0</v>
      </c>
    </row>
    <row r="50" spans="2:14" x14ac:dyDescent="0.45">
      <c r="B50" s="26" t="s">
        <v>360</v>
      </c>
      <c r="C50" s="10" t="s">
        <v>361</v>
      </c>
      <c r="E50" s="28">
        <f t="shared" ref="E50:N50" si="28">IF(E45&gt;=0,E6,9999)</f>
        <v>9999</v>
      </c>
      <c r="F50" s="28">
        <f t="shared" si="28"/>
        <v>9999</v>
      </c>
      <c r="G50" s="28">
        <f t="shared" si="28"/>
        <v>9999</v>
      </c>
      <c r="H50" s="28">
        <f t="shared" si="28"/>
        <v>9999</v>
      </c>
      <c r="I50" s="28">
        <f t="shared" si="28"/>
        <v>9999</v>
      </c>
      <c r="J50" s="28">
        <f t="shared" si="28"/>
        <v>9999</v>
      </c>
      <c r="K50" s="28">
        <f t="shared" si="28"/>
        <v>9999</v>
      </c>
      <c r="L50" s="28">
        <f t="shared" si="28"/>
        <v>9999</v>
      </c>
      <c r="M50" s="28">
        <f t="shared" si="28"/>
        <v>9999</v>
      </c>
      <c r="N50" s="28">
        <f t="shared" si="28"/>
        <v>9999</v>
      </c>
    </row>
    <row r="52" spans="2:14" ht="15.75" x14ac:dyDescent="0.5">
      <c r="B52" s="4" t="s">
        <v>362</v>
      </c>
    </row>
    <row r="53" spans="2:14" x14ac:dyDescent="0.45">
      <c r="B53" s="23" t="s">
        <v>363</v>
      </c>
      <c r="D53" s="29">
        <f>SUM(E47:N47)+TV/(1+L_r)^10</f>
        <v>-8682652642.8554955</v>
      </c>
    </row>
    <row r="54" spans="2:14" x14ac:dyDescent="0.45">
      <c r="B54" s="23" t="s">
        <v>364</v>
      </c>
      <c r="D54" s="16" t="str">
        <f>IFERROR(IRR(E49:N49),"none")</f>
        <v>none</v>
      </c>
    </row>
    <row r="55" spans="2:14" x14ac:dyDescent="0.45">
      <c r="B55" s="23" t="s">
        <v>365</v>
      </c>
      <c r="D55" s="30" t="str">
        <f>IF(OptEff=4,"none",IF(MIN(E50:N50)=9999,"none",MIN(E50:N50)))</f>
        <v>none</v>
      </c>
    </row>
    <row r="56" spans="2:14" x14ac:dyDescent="0.45">
      <c r="B56" s="23" t="s">
        <v>366</v>
      </c>
      <c r="D56" s="29">
        <f>SUM(E38:N38)+SUM(E39:N39)</f>
        <v>18922263800.565819</v>
      </c>
    </row>
    <row r="57" spans="2:14" x14ac:dyDescent="0.45">
      <c r="B57" s="23" t="s">
        <v>367</v>
      </c>
      <c r="D57" s="29">
        <f>N34</f>
        <v>0</v>
      </c>
    </row>
    <row r="58" spans="2:14" x14ac:dyDescent="0.45">
      <c r="B58" s="23" t="s">
        <v>368</v>
      </c>
      <c r="D58" s="29">
        <f>TV/(1+L_r)^10</f>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40"/>
  <sheetViews>
    <sheetView workbookViewId="0">
      <pane xSplit="2" ySplit="6" topLeftCell="C7" activePane="bottomRight" state="frozen"/>
      <selection pane="topRight"/>
      <selection pane="bottomLeft"/>
      <selection pane="bottomRight"/>
    </sheetView>
  </sheetViews>
  <sheetFormatPr defaultRowHeight="14.25" x14ac:dyDescent="0.45"/>
  <cols>
    <col min="1" max="1" width="2" customWidth="1"/>
    <col min="2" max="2" width="40" customWidth="1"/>
    <col min="3" max="3" width="10" customWidth="1"/>
    <col min="4" max="4" width="8" customWidth="1"/>
    <col min="5" max="5" width="14" customWidth="1"/>
    <col min="6" max="7" width="10" customWidth="1"/>
    <col min="8" max="9" width="14" customWidth="1"/>
    <col min="10" max="10" width="11" customWidth="1"/>
    <col min="11" max="11" width="14" customWidth="1"/>
  </cols>
  <sheetData>
    <row r="1" spans="2:11" ht="18" x14ac:dyDescent="0.55000000000000004">
      <c r="B1" s="1" t="s">
        <v>369</v>
      </c>
    </row>
    <row r="2" spans="2:11" x14ac:dyDescent="0.45">
      <c r="B2" s="2" t="s">
        <v>370</v>
      </c>
    </row>
    <row r="4" spans="2:11" x14ac:dyDescent="0.45">
      <c r="B4" t="s">
        <v>371</v>
      </c>
      <c r="C4" s="31">
        <v>0</v>
      </c>
    </row>
    <row r="6" spans="2:11" ht="28.5" x14ac:dyDescent="0.45">
      <c r="B6" s="5" t="s">
        <v>4</v>
      </c>
      <c r="C6" s="5" t="s">
        <v>372</v>
      </c>
      <c r="D6" s="5" t="s">
        <v>373</v>
      </c>
      <c r="E6" s="5" t="s">
        <v>374</v>
      </c>
      <c r="F6" s="5" t="s">
        <v>364</v>
      </c>
      <c r="G6" s="5" t="s">
        <v>375</v>
      </c>
      <c r="H6" s="5" t="s">
        <v>376</v>
      </c>
      <c r="I6" s="5" t="s">
        <v>377</v>
      </c>
      <c r="J6" s="5" t="s">
        <v>378</v>
      </c>
      <c r="K6" s="5" t="s">
        <v>379</v>
      </c>
    </row>
    <row r="7" spans="2:11" x14ac:dyDescent="0.45">
      <c r="B7" s="17" t="s">
        <v>380</v>
      </c>
      <c r="E7" s="32">
        <f>NPVc</f>
        <v>-8682652642.8554955</v>
      </c>
      <c r="F7" s="32" t="str">
        <f>IRR_</f>
        <v>none</v>
      </c>
      <c r="G7" s="32" t="str">
        <f>Payback</f>
        <v>none</v>
      </c>
      <c r="H7" s="32">
        <f>Spend</f>
        <v>18922263800.565819</v>
      </c>
      <c r="I7" s="32">
        <f>Rev_2036</f>
        <v>0</v>
      </c>
      <c r="J7" s="32">
        <f>Cont</f>
        <v>0</v>
      </c>
      <c r="K7" s="32">
        <f>PVTV</f>
        <v>0</v>
      </c>
    </row>
    <row r="8" spans="2:11" x14ac:dyDescent="0.45">
      <c r="B8" s="33" t="s">
        <v>8</v>
      </c>
      <c r="C8" s="33" t="s">
        <v>5</v>
      </c>
      <c r="D8" s="33">
        <v>1</v>
      </c>
      <c r="E8" s="34">
        <f t="dataTable" ref="E8:K19" dt2D="0" dtr="0" r1="C4" ca="1"/>
        <v>-86711796506.052689</v>
      </c>
      <c r="F8" s="35" t="str">
        <v>none</v>
      </c>
      <c r="G8" s="36" t="str">
        <v>none</v>
      </c>
      <c r="H8" s="34">
        <v>188408728924.73856</v>
      </c>
      <c r="I8" s="34">
        <v>2362854751.9061651</v>
      </c>
      <c r="J8" s="36">
        <v>1</v>
      </c>
      <c r="K8" s="34">
        <v>0</v>
      </c>
    </row>
    <row r="9" spans="2:11" x14ac:dyDescent="0.45">
      <c r="B9" t="s">
        <v>8</v>
      </c>
      <c r="C9" t="s">
        <v>6</v>
      </c>
      <c r="D9">
        <v>2</v>
      </c>
      <c r="E9" s="8">
        <v>-83332685163.230789</v>
      </c>
      <c r="F9" s="7" t="str">
        <v>none</v>
      </c>
      <c r="G9" s="28" t="str">
        <v>none</v>
      </c>
      <c r="H9" s="8">
        <v>190658035634.00378</v>
      </c>
      <c r="I9" s="8">
        <v>10562421839.321842</v>
      </c>
      <c r="J9" s="28">
        <v>1</v>
      </c>
      <c r="K9" s="8">
        <v>0</v>
      </c>
    </row>
    <row r="10" spans="2:11" x14ac:dyDescent="0.45">
      <c r="B10" t="s">
        <v>8</v>
      </c>
      <c r="C10" t="s">
        <v>7</v>
      </c>
      <c r="D10">
        <v>3</v>
      </c>
      <c r="E10" s="8">
        <v>-59042473794.445778</v>
      </c>
      <c r="F10" s="7" t="str">
        <v>none</v>
      </c>
      <c r="G10" s="28" t="str">
        <v>none</v>
      </c>
      <c r="H10" s="8">
        <v>192907342343.26895</v>
      </c>
      <c r="I10" s="8">
        <v>57821541844.788162</v>
      </c>
      <c r="J10" s="28">
        <v>1</v>
      </c>
      <c r="K10" s="8">
        <v>0</v>
      </c>
    </row>
    <row r="11" spans="2:11" x14ac:dyDescent="0.45">
      <c r="B11" s="33" t="s">
        <v>9</v>
      </c>
      <c r="C11" s="33" t="s">
        <v>5</v>
      </c>
      <c r="D11" s="33">
        <v>4</v>
      </c>
      <c r="E11" s="34">
        <v>-62517558324.572433</v>
      </c>
      <c r="F11" s="35" t="str">
        <v>none</v>
      </c>
      <c r="G11" s="36" t="str">
        <v>none</v>
      </c>
      <c r="H11" s="34">
        <v>137499755993.80524</v>
      </c>
      <c r="I11" s="34">
        <v>2331086078.2673125</v>
      </c>
      <c r="J11" s="36">
        <v>1</v>
      </c>
      <c r="K11" s="34">
        <v>0</v>
      </c>
    </row>
    <row r="12" spans="2:11" x14ac:dyDescent="0.45">
      <c r="B12" t="s">
        <v>9</v>
      </c>
      <c r="C12" t="s">
        <v>6</v>
      </c>
      <c r="D12">
        <v>5</v>
      </c>
      <c r="E12" s="8">
        <v>-58997032409.089783</v>
      </c>
      <c r="F12" s="7" t="str">
        <v>none</v>
      </c>
      <c r="G12" s="28" t="str">
        <v>none</v>
      </c>
      <c r="H12" s="8">
        <v>138624409348.43781</v>
      </c>
      <c r="I12" s="8">
        <v>10341006380.038755</v>
      </c>
      <c r="J12" s="28">
        <v>1</v>
      </c>
      <c r="K12" s="8">
        <v>0</v>
      </c>
    </row>
    <row r="13" spans="2:11" x14ac:dyDescent="0.45">
      <c r="B13" t="s">
        <v>9</v>
      </c>
      <c r="C13" t="s">
        <v>7</v>
      </c>
      <c r="D13">
        <v>6</v>
      </c>
      <c r="E13" s="8">
        <v>-17341635208.88739</v>
      </c>
      <c r="F13" s="7">
        <v>-1.7605161828171401E-4</v>
      </c>
      <c r="G13" s="28" t="str">
        <v>none</v>
      </c>
      <c r="H13" s="8">
        <v>139749062703.0704</v>
      </c>
      <c r="I13" s="8">
        <v>57148170337.531273</v>
      </c>
      <c r="J13" s="28">
        <v>1</v>
      </c>
      <c r="K13" s="8">
        <v>17559374398.571739</v>
      </c>
    </row>
    <row r="14" spans="2:11" x14ac:dyDescent="0.45">
      <c r="B14" s="33" t="s">
        <v>10</v>
      </c>
      <c r="C14" s="33" t="s">
        <v>5</v>
      </c>
      <c r="D14" s="33">
        <v>7</v>
      </c>
      <c r="E14" s="34">
        <v>-8913583014.116024</v>
      </c>
      <c r="F14" s="35" t="str">
        <v>none</v>
      </c>
      <c r="G14" s="36" t="str">
        <v>none</v>
      </c>
      <c r="H14" s="34">
        <v>18809798465.102562</v>
      </c>
      <c r="I14" s="34">
        <v>0</v>
      </c>
      <c r="J14" s="36">
        <v>0</v>
      </c>
      <c r="K14" s="34">
        <v>0</v>
      </c>
    </row>
    <row r="15" spans="2:11" x14ac:dyDescent="0.45">
      <c r="B15" t="s">
        <v>10</v>
      </c>
      <c r="C15" t="s">
        <v>6</v>
      </c>
      <c r="D15">
        <v>8</v>
      </c>
      <c r="E15" s="8">
        <v>-8682652642.8554955</v>
      </c>
      <c r="F15" s="7" t="str">
        <v>none</v>
      </c>
      <c r="G15" s="28" t="str">
        <v>none</v>
      </c>
      <c r="H15" s="8">
        <v>18922263800.565819</v>
      </c>
      <c r="I15" s="8">
        <v>0</v>
      </c>
      <c r="J15" s="28">
        <v>0</v>
      </c>
      <c r="K15" s="8">
        <v>0</v>
      </c>
    </row>
    <row r="16" spans="2:11" x14ac:dyDescent="0.45">
      <c r="B16" t="s">
        <v>10</v>
      </c>
      <c r="C16" t="s">
        <v>7</v>
      </c>
      <c r="D16">
        <v>9</v>
      </c>
      <c r="E16" s="8">
        <v>51362195620.426712</v>
      </c>
      <c r="F16" s="7">
        <v>0.36291240018652959</v>
      </c>
      <c r="G16" s="28">
        <v>2036</v>
      </c>
      <c r="H16" s="8">
        <v>72482687467.886765</v>
      </c>
      <c r="I16" s="8">
        <v>57148170337.531273</v>
      </c>
      <c r="J16" s="28">
        <v>1</v>
      </c>
      <c r="K16" s="8">
        <v>54035661406.055618</v>
      </c>
    </row>
    <row r="17" spans="2:11" x14ac:dyDescent="0.45">
      <c r="B17" s="33" t="s">
        <v>11</v>
      </c>
      <c r="C17" s="33" t="s">
        <v>5</v>
      </c>
      <c r="D17" s="33">
        <v>10</v>
      </c>
      <c r="E17" s="34">
        <v>0</v>
      </c>
      <c r="F17" s="35" t="str">
        <v>none</v>
      </c>
      <c r="G17" s="36" t="str">
        <v>none</v>
      </c>
      <c r="H17" s="34">
        <v>5216312232.7031288</v>
      </c>
      <c r="I17" s="34">
        <v>0</v>
      </c>
      <c r="J17" s="36">
        <v>1</v>
      </c>
      <c r="K17" s="34">
        <v>0</v>
      </c>
    </row>
    <row r="18" spans="2:11" x14ac:dyDescent="0.45">
      <c r="B18" t="s">
        <v>11</v>
      </c>
      <c r="C18" t="s">
        <v>6</v>
      </c>
      <c r="D18">
        <v>11</v>
      </c>
      <c r="E18" s="8">
        <v>0</v>
      </c>
      <c r="F18" s="7" t="str">
        <v>none</v>
      </c>
      <c r="G18" s="28" t="str">
        <v>none</v>
      </c>
      <c r="H18" s="8">
        <v>5216312232.7031288</v>
      </c>
      <c r="I18" s="8">
        <v>0</v>
      </c>
      <c r="J18" s="28">
        <v>1</v>
      </c>
      <c r="K18" s="8">
        <v>0</v>
      </c>
    </row>
    <row r="19" spans="2:11" x14ac:dyDescent="0.45">
      <c r="B19" t="s">
        <v>11</v>
      </c>
      <c r="C19" t="s">
        <v>7</v>
      </c>
      <c r="D19">
        <v>12</v>
      </c>
      <c r="E19" s="8">
        <v>0</v>
      </c>
      <c r="F19" s="7" t="str">
        <v>none</v>
      </c>
      <c r="G19" s="28" t="str">
        <v>none</v>
      </c>
      <c r="H19" s="8">
        <v>5216312232.7031288</v>
      </c>
      <c r="I19" s="8">
        <v>0</v>
      </c>
      <c r="J19" s="28">
        <v>1</v>
      </c>
      <c r="K19" s="8">
        <v>0</v>
      </c>
    </row>
    <row r="21" spans="2:11" ht="15.75" x14ac:dyDescent="0.5">
      <c r="B21" s="4" t="s">
        <v>381</v>
      </c>
    </row>
    <row r="22" spans="2:11" x14ac:dyDescent="0.45">
      <c r="B22" s="5" t="s">
        <v>4</v>
      </c>
      <c r="C22" s="5" t="s">
        <v>5</v>
      </c>
      <c r="D22" s="5" t="s">
        <v>6</v>
      </c>
      <c r="E22" s="5" t="s">
        <v>7</v>
      </c>
    </row>
    <row r="23" spans="2:11" x14ac:dyDescent="0.45">
      <c r="B23" t="s">
        <v>8</v>
      </c>
      <c r="C23" s="6">
        <f>E8</f>
        <v>-86711796506.052689</v>
      </c>
      <c r="D23" s="6">
        <f>E9</f>
        <v>-83332685163.230789</v>
      </c>
      <c r="E23" s="6">
        <f>E10</f>
        <v>-59042473794.445778</v>
      </c>
    </row>
    <row r="24" spans="2:11" x14ac:dyDescent="0.45">
      <c r="B24" t="s">
        <v>9</v>
      </c>
      <c r="C24" s="6">
        <f>E11</f>
        <v>-62517558324.572433</v>
      </c>
      <c r="D24" s="6">
        <f>E12</f>
        <v>-58997032409.089783</v>
      </c>
      <c r="E24" s="6">
        <f>E13</f>
        <v>-17341635208.88739</v>
      </c>
    </row>
    <row r="25" spans="2:11" x14ac:dyDescent="0.45">
      <c r="B25" t="s">
        <v>10</v>
      </c>
      <c r="C25" s="6">
        <f>E14</f>
        <v>-8913583014.116024</v>
      </c>
      <c r="D25" s="6">
        <f>E15</f>
        <v>-8682652642.8554955</v>
      </c>
      <c r="E25" s="6">
        <f>E16</f>
        <v>51362195620.426712</v>
      </c>
    </row>
    <row r="26" spans="2:11" x14ac:dyDescent="0.45">
      <c r="B26" t="s">
        <v>11</v>
      </c>
      <c r="C26" s="6">
        <f>E17</f>
        <v>0</v>
      </c>
      <c r="D26" s="6">
        <f>E18</f>
        <v>0</v>
      </c>
      <c r="E26" s="6">
        <f>E19</f>
        <v>0</v>
      </c>
    </row>
    <row r="28" spans="2:11" ht="15.75" x14ac:dyDescent="0.5">
      <c r="B28" s="4" t="s">
        <v>382</v>
      </c>
    </row>
    <row r="29" spans="2:11" x14ac:dyDescent="0.45">
      <c r="B29" t="s">
        <v>383</v>
      </c>
      <c r="E29" s="8">
        <f>AVERAGE(E14,E15)</f>
        <v>-8798117828.4857597</v>
      </c>
    </row>
    <row r="30" spans="2:11" x14ac:dyDescent="0.45">
      <c r="B30" t="s">
        <v>384</v>
      </c>
      <c r="E30" s="7">
        <f>IF(E16&lt;=NfailC,"never",MIN(1,MAX(0,-NfailC/(E16-NfailC))))</f>
        <v>0.146244547677715</v>
      </c>
    </row>
    <row r="31" spans="2:11" x14ac:dyDescent="0.45">
      <c r="B31" t="s">
        <v>385</v>
      </c>
      <c r="E31" s="8">
        <f>MIN(E14:E16)</f>
        <v>-8913583014.116024</v>
      </c>
    </row>
    <row r="33" spans="2:5" ht="15.75" x14ac:dyDescent="0.5">
      <c r="B33" s="4" t="s">
        <v>386</v>
      </c>
    </row>
    <row r="34" spans="2:5" ht="30" customHeight="1" x14ac:dyDescent="0.45">
      <c r="B34" s="42" t="s">
        <v>387</v>
      </c>
      <c r="C34" s="40"/>
      <c r="D34" s="40"/>
      <c r="E34" s="8">
        <f>-E12/((1-(1+L_r)^-10)/L_r)</f>
        <v>9601495336.3136482</v>
      </c>
    </row>
    <row r="35" spans="2:5" ht="30" customHeight="1" x14ac:dyDescent="0.45">
      <c r="B35" s="42" t="s">
        <v>388</v>
      </c>
      <c r="C35" s="40"/>
      <c r="D35" s="40"/>
      <c r="E35" s="8">
        <f>Rg_0*(1+Inputs!E38)</f>
        <v>1911910702.8753994</v>
      </c>
    </row>
    <row r="36" spans="2:5" ht="30" customHeight="1" x14ac:dyDescent="0.45">
      <c r="B36" s="42" t="s">
        <v>389</v>
      </c>
      <c r="C36" s="40"/>
      <c r="D36" s="40"/>
      <c r="E36" s="22">
        <f>I16/F_appleWHA</f>
        <v>1.6014170917875714</v>
      </c>
    </row>
    <row r="37" spans="2:5" ht="30" customHeight="1" x14ac:dyDescent="0.45">
      <c r="B37" s="42" t="s">
        <v>390</v>
      </c>
      <c r="C37" s="40"/>
      <c r="D37" s="40"/>
      <c r="E37" s="7">
        <f>K16/E16</f>
        <v>1.0520512363876764</v>
      </c>
    </row>
    <row r="38" spans="2:5" ht="30" customHeight="1" x14ac:dyDescent="0.45">
      <c r="B38" s="42" t="s">
        <v>391</v>
      </c>
      <c r="C38" s="40"/>
      <c r="D38" s="40"/>
      <c r="E38" s="8">
        <f>L_k*Cost_26</f>
        <v>5216312232.7031288</v>
      </c>
    </row>
    <row r="39" spans="2:5" ht="30" customHeight="1" x14ac:dyDescent="0.45">
      <c r="B39" s="42" t="s">
        <v>392</v>
      </c>
      <c r="C39" s="40"/>
      <c r="D39" s="40"/>
      <c r="E39" s="8">
        <f>Cost_26*L_w-Rg_0*(1-Inputs!D41)</f>
        <v>13705951567.86269</v>
      </c>
    </row>
    <row r="40" spans="2:5" ht="30" customHeight="1" x14ac:dyDescent="0.45">
      <c r="B40" s="42" t="s">
        <v>393</v>
      </c>
      <c r="C40" s="40"/>
      <c r="D40" s="40"/>
      <c r="E40" s="8">
        <f>FwBase*L_cap*(1+L_e)</f>
        <v>6852975783.931345</v>
      </c>
    </row>
  </sheetData>
  <mergeCells count="7">
    <mergeCell ref="B34:D34"/>
    <mergeCell ref="B36:D36"/>
    <mergeCell ref="B37:D37"/>
    <mergeCell ref="B35:D35"/>
    <mergeCell ref="B40:D40"/>
    <mergeCell ref="B39:D39"/>
    <mergeCell ref="B38:D38"/>
  </mergeCells>
  <conditionalFormatting sqref="C23:E26">
    <cfRule type="cellIs" dxfId="6" priority="1" operator="lessThan">
      <formula>0</formula>
    </cfRule>
    <cfRule type="cellIs" dxfId="5" priority="2" operator="greaterThan">
      <formula>0</formula>
    </cfRule>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30"/>
  <sheetViews>
    <sheetView workbookViewId="0"/>
  </sheetViews>
  <sheetFormatPr defaultRowHeight="14.25" x14ac:dyDescent="0.45"/>
  <cols>
    <col min="1" max="1" width="2" customWidth="1"/>
    <col min="2" max="2" width="40" customWidth="1"/>
    <col min="3" max="3" width="10" customWidth="1"/>
    <col min="4" max="10" width="14" customWidth="1"/>
  </cols>
  <sheetData>
    <row r="1" spans="2:11" ht="18" x14ac:dyDescent="0.55000000000000004">
      <c r="B1" s="1" t="s">
        <v>394</v>
      </c>
    </row>
    <row r="2" spans="2:11" x14ac:dyDescent="0.45">
      <c r="B2" s="2" t="s">
        <v>395</v>
      </c>
    </row>
    <row r="4" spans="2:11" x14ac:dyDescent="0.45">
      <c r="B4" t="s">
        <v>396</v>
      </c>
      <c r="C4" s="31">
        <v>0</v>
      </c>
    </row>
    <row r="5" spans="2:11" x14ac:dyDescent="0.45">
      <c r="B5" t="s">
        <v>397</v>
      </c>
      <c r="C5" s="31">
        <v>1</v>
      </c>
    </row>
    <row r="6" spans="2:11" x14ac:dyDescent="0.45">
      <c r="B6" t="s">
        <v>398</v>
      </c>
      <c r="C6" s="31"/>
    </row>
    <row r="7" spans="2:11" x14ac:dyDescent="0.45">
      <c r="B7" t="s">
        <v>399</v>
      </c>
      <c r="C7" s="31"/>
    </row>
    <row r="9" spans="2:11" x14ac:dyDescent="0.45">
      <c r="B9" s="5" t="s">
        <v>97</v>
      </c>
      <c r="C9" s="5" t="s">
        <v>400</v>
      </c>
      <c r="D9" s="5" t="s">
        <v>401</v>
      </c>
      <c r="E9" s="5" t="s">
        <v>402</v>
      </c>
      <c r="F9" s="5" t="s">
        <v>403</v>
      </c>
      <c r="G9" s="5" t="s">
        <v>404</v>
      </c>
      <c r="H9" s="5" t="s">
        <v>405</v>
      </c>
      <c r="I9" s="5" t="s">
        <v>406</v>
      </c>
      <c r="J9" s="5" t="s">
        <v>407</v>
      </c>
    </row>
    <row r="10" spans="2:11" x14ac:dyDescent="0.45">
      <c r="B10" s="17" t="s">
        <v>408</v>
      </c>
      <c r="C10" s="32">
        <f>NPVc</f>
        <v>-8682652642.8554955</v>
      </c>
      <c r="D10" s="17">
        <v>1</v>
      </c>
      <c r="E10" s="17">
        <v>2</v>
      </c>
      <c r="F10" s="17">
        <v>1</v>
      </c>
      <c r="G10" s="17">
        <v>2</v>
      </c>
    </row>
    <row r="11" spans="2:11" x14ac:dyDescent="0.45">
      <c r="B11" t="s">
        <v>409</v>
      </c>
      <c r="C11">
        <v>1</v>
      </c>
      <c r="D11" s="8">
        <f t="dataTable" ref="D11:E19" dt2D="1" dtr="1" r1="C5" r2="C4" ca="1"/>
        <v>-86135995711.701813</v>
      </c>
      <c r="E11" s="8">
        <v>-77237723729.627533</v>
      </c>
      <c r="F11" s="7">
        <f>Inputs!E47</f>
        <v>0.15</v>
      </c>
      <c r="G11" s="7">
        <f>Inputs!F47</f>
        <v>0.55000000000000004</v>
      </c>
      <c r="H11" s="8">
        <f t="shared" ref="H11:H19" si="0">D11-BaseNPV1</f>
        <v>-2803310548.4710236</v>
      </c>
      <c r="I11" s="8">
        <f t="shared" ref="I11:I19" si="1">E11-BaseNPV1</f>
        <v>6094961433.6032562</v>
      </c>
      <c r="J11" s="8">
        <f t="shared" ref="J11:J19" si="2">MAX(ABS(H11),ABS(I11))</f>
        <v>6094961433.6032562</v>
      </c>
      <c r="K11" s="17" t="s">
        <v>118</v>
      </c>
    </row>
    <row r="12" spans="2:11" x14ac:dyDescent="0.45">
      <c r="B12" t="s">
        <v>104</v>
      </c>
      <c r="C12">
        <v>2</v>
      </c>
      <c r="D12" s="8">
        <v>-84976040235.278381</v>
      </c>
      <c r="E12" s="8">
        <v>-81689330091.183212</v>
      </c>
      <c r="F12" s="7">
        <f>Inputs!E48</f>
        <v>0.1</v>
      </c>
      <c r="G12" s="7">
        <f>Inputs!F48</f>
        <v>0.3</v>
      </c>
      <c r="H12" s="8">
        <f t="shared" si="0"/>
        <v>-1643355072.0475922</v>
      </c>
      <c r="I12" s="8">
        <f t="shared" si="1"/>
        <v>1643355072.0475769</v>
      </c>
      <c r="J12" s="8">
        <f t="shared" si="2"/>
        <v>1643355072.0475922</v>
      </c>
      <c r="K12" s="17" t="s">
        <v>119</v>
      </c>
    </row>
    <row r="13" spans="2:11" x14ac:dyDescent="0.45">
      <c r="B13" t="s">
        <v>120</v>
      </c>
      <c r="C13">
        <v>3</v>
      </c>
      <c r="D13" s="8">
        <v>-85074212974.895325</v>
      </c>
      <c r="E13" s="8">
        <v>-81591157351.566254</v>
      </c>
      <c r="F13" s="7">
        <f>Inputs!E49</f>
        <v>0.3</v>
      </c>
      <c r="G13" s="7">
        <f>Inputs!F49</f>
        <v>0.7</v>
      </c>
      <c r="H13" s="8">
        <f t="shared" si="0"/>
        <v>-1741527811.6645355</v>
      </c>
      <c r="I13" s="8">
        <f t="shared" si="1"/>
        <v>1741527811.6645355</v>
      </c>
      <c r="J13" s="8">
        <f t="shared" si="2"/>
        <v>1741527811.6645355</v>
      </c>
      <c r="K13" s="17" t="s">
        <v>121</v>
      </c>
    </row>
    <row r="14" spans="2:11" x14ac:dyDescent="0.45">
      <c r="B14" t="s">
        <v>85</v>
      </c>
      <c r="C14">
        <v>4</v>
      </c>
      <c r="D14" s="8">
        <v>-108444563220.50066</v>
      </c>
      <c r="E14" s="8">
        <v>-64155552772.788948</v>
      </c>
      <c r="F14" s="7">
        <f>Inputs!E50</f>
        <v>0.05</v>
      </c>
      <c r="G14" s="7">
        <f>Inputs!F50</f>
        <v>-0.05</v>
      </c>
      <c r="H14" s="8">
        <f t="shared" si="0"/>
        <v>-25111878057.269867</v>
      </c>
      <c r="I14" s="8">
        <f t="shared" si="1"/>
        <v>19177132390.441841</v>
      </c>
      <c r="J14" s="8">
        <f t="shared" si="2"/>
        <v>25111878057.269867</v>
      </c>
      <c r="K14" s="17" t="s">
        <v>122</v>
      </c>
    </row>
    <row r="15" spans="2:11" x14ac:dyDescent="0.45">
      <c r="B15" t="s">
        <v>18</v>
      </c>
      <c r="C15">
        <v>5</v>
      </c>
      <c r="D15" s="8">
        <v>-76520234901.458588</v>
      </c>
      <c r="E15" s="8">
        <v>-91121692020.321136</v>
      </c>
      <c r="F15" s="7">
        <f>Inputs!E51</f>
        <v>0.12</v>
      </c>
      <c r="G15" s="7">
        <f>Inputs!F51</f>
        <v>0.08</v>
      </c>
      <c r="H15" s="8">
        <f t="shared" si="0"/>
        <v>6812450261.7722015</v>
      </c>
      <c r="I15" s="8">
        <f t="shared" si="1"/>
        <v>-7789006857.0903473</v>
      </c>
      <c r="J15" s="8">
        <f t="shared" si="2"/>
        <v>7789006857.0903473</v>
      </c>
      <c r="K15" s="17" t="s">
        <v>123</v>
      </c>
    </row>
    <row r="16" spans="2:11" x14ac:dyDescent="0.45">
      <c r="B16" t="s">
        <v>124</v>
      </c>
      <c r="C16">
        <v>6</v>
      </c>
      <c r="D16" s="8">
        <v>-83371876473.913864</v>
      </c>
      <c r="E16" s="8">
        <v>-83292965539.020309</v>
      </c>
      <c r="F16" s="7">
        <f>Inputs!E52</f>
        <v>0.02</v>
      </c>
      <c r="G16" s="7">
        <f>Inputs!F52</f>
        <v>0.04</v>
      </c>
      <c r="H16" s="8">
        <f t="shared" si="0"/>
        <v>-39191310.683074951</v>
      </c>
      <c r="I16" s="8">
        <f t="shared" si="1"/>
        <v>39719624.210479736</v>
      </c>
      <c r="J16" s="8">
        <f t="shared" si="2"/>
        <v>39719624.210479736</v>
      </c>
      <c r="K16" s="17" t="s">
        <v>125</v>
      </c>
    </row>
    <row r="17" spans="2:11" x14ac:dyDescent="0.45">
      <c r="B17" t="s">
        <v>102</v>
      </c>
      <c r="C17">
        <v>7</v>
      </c>
      <c r="D17" s="8">
        <v>-83518482373.150986</v>
      </c>
      <c r="E17" s="8">
        <v>-83025374554.283524</v>
      </c>
      <c r="F17" s="7">
        <f>Inputs!E53</f>
        <v>-0.25</v>
      </c>
      <c r="G17" s="7">
        <f>Inputs!F53</f>
        <v>-0.05</v>
      </c>
      <c r="H17" s="8">
        <f t="shared" si="0"/>
        <v>-185797209.92019653</v>
      </c>
      <c r="I17" s="8">
        <f t="shared" si="1"/>
        <v>307310608.94726563</v>
      </c>
      <c r="J17" s="8">
        <f t="shared" si="2"/>
        <v>307310608.94726563</v>
      </c>
      <c r="K17" s="17" t="s">
        <v>126</v>
      </c>
    </row>
    <row r="18" spans="2:11" x14ac:dyDescent="0.45">
      <c r="B18" t="s">
        <v>127</v>
      </c>
      <c r="C18">
        <v>8</v>
      </c>
      <c r="D18" s="8">
        <v>-83332685163.230789</v>
      </c>
      <c r="E18" s="8">
        <v>-83332685163.230789</v>
      </c>
      <c r="F18" s="7">
        <f>Inputs!E54</f>
        <v>0.8</v>
      </c>
      <c r="G18" s="7">
        <f>Inputs!F54</f>
        <v>0.6</v>
      </c>
      <c r="H18" s="8">
        <f t="shared" si="0"/>
        <v>0</v>
      </c>
      <c r="I18" s="8">
        <f t="shared" si="1"/>
        <v>0</v>
      </c>
      <c r="J18" s="8">
        <f t="shared" si="2"/>
        <v>0</v>
      </c>
      <c r="K18" s="17" t="s">
        <v>128</v>
      </c>
    </row>
    <row r="19" spans="2:11" x14ac:dyDescent="0.45">
      <c r="B19" t="s">
        <v>129</v>
      </c>
      <c r="C19">
        <v>9</v>
      </c>
      <c r="D19" s="8">
        <v>-85580441525.322861</v>
      </c>
      <c r="E19" s="8">
        <v>-79586424559.743988</v>
      </c>
      <c r="F19" s="7">
        <f>Inputs!E55</f>
        <v>0.1</v>
      </c>
      <c r="G19" s="7">
        <f>Inputs!F55</f>
        <v>0.5</v>
      </c>
      <c r="H19" s="8">
        <f t="shared" si="0"/>
        <v>-2247756362.0920715</v>
      </c>
      <c r="I19" s="8">
        <f t="shared" si="1"/>
        <v>3746260603.4868011</v>
      </c>
      <c r="J19" s="8">
        <f t="shared" si="2"/>
        <v>3746260603.4868011</v>
      </c>
      <c r="K19" s="17" t="s">
        <v>130</v>
      </c>
    </row>
    <row r="20" spans="2:11" x14ac:dyDescent="0.45">
      <c r="B20" t="s">
        <v>410</v>
      </c>
      <c r="D20" s="8">
        <f>Cases!E9</f>
        <v>-83332685163.230789</v>
      </c>
    </row>
    <row r="21" spans="2:11" x14ac:dyDescent="0.45">
      <c r="B21" t="s">
        <v>411</v>
      </c>
      <c r="D21" t="str">
        <f>INDEX(K11:K19,MATCH(LARGE(J11:J19,1),J11:J19,0))</f>
        <v>e</v>
      </c>
    </row>
    <row r="22" spans="2:11" x14ac:dyDescent="0.45">
      <c r="B22" t="s">
        <v>412</v>
      </c>
      <c r="D22" t="str">
        <f>INDEX(K11:K19,MATCH(LARGE(J11:J19,2),J11:J19,0))</f>
        <v>r</v>
      </c>
    </row>
    <row r="24" spans="2:11" ht="15.75" x14ac:dyDescent="0.5">
      <c r="B24" s="4" t="s">
        <v>413</v>
      </c>
    </row>
    <row r="25" spans="2:11" x14ac:dyDescent="0.45">
      <c r="B25" s="17" t="s">
        <v>408</v>
      </c>
      <c r="C25" s="32">
        <f>NPVc</f>
        <v>-8682652642.8554955</v>
      </c>
      <c r="D25" s="16">
        <v>0.08</v>
      </c>
      <c r="E25" s="16">
        <v>0.09</v>
      </c>
      <c r="F25" s="16">
        <v>0.1</v>
      </c>
      <c r="G25" s="16">
        <v>0.11</v>
      </c>
      <c r="H25" s="16">
        <v>0.12</v>
      </c>
    </row>
    <row r="26" spans="2:11" x14ac:dyDescent="0.45">
      <c r="C26" s="16">
        <v>-0.05</v>
      </c>
      <c r="D26" s="6">
        <f t="dataTable" ref="D26:H30" dt2D="1" dtr="1" r1="C7" r2="C6"/>
        <v>-69597527070.917526</v>
      </c>
      <c r="E26" s="6">
        <v>-66788961882.885017</v>
      </c>
      <c r="F26" s="6">
        <v>-64155552772.788948</v>
      </c>
      <c r="G26" s="6">
        <v>-61683567998.851105</v>
      </c>
      <c r="H26" s="6">
        <v>-59360530115.144646</v>
      </c>
    </row>
    <row r="27" spans="2:11" x14ac:dyDescent="0.45">
      <c r="C27" s="16">
        <v>-2.5000000000000001E-2</v>
      </c>
      <c r="D27" s="6">
        <v>-79622999669.439163</v>
      </c>
      <c r="E27" s="6">
        <v>-76254897539.481384</v>
      </c>
      <c r="F27" s="6">
        <v>-73102964997.076569</v>
      </c>
      <c r="G27" s="6">
        <v>-70149932154.833313</v>
      </c>
      <c r="H27" s="6">
        <v>-67380127465.541611</v>
      </c>
    </row>
    <row r="28" spans="2:11" x14ac:dyDescent="0.45">
      <c r="C28" s="16">
        <v>0</v>
      </c>
      <c r="D28" s="6">
        <v>-91121692020.321136</v>
      </c>
      <c r="E28" s="6">
        <v>-87094602864.097015</v>
      </c>
      <c r="F28" s="6">
        <v>-83332685163.230789</v>
      </c>
      <c r="G28" s="6">
        <v>-79814402642.777237</v>
      </c>
      <c r="H28" s="6">
        <v>-76520234901.458588</v>
      </c>
    </row>
    <row r="29" spans="2:11" x14ac:dyDescent="0.45">
      <c r="C29" s="16">
        <v>2.5000000000000001E-2</v>
      </c>
      <c r="D29" s="6">
        <v>-104320242952.67842</v>
      </c>
      <c r="E29" s="6">
        <v>-99517882171.005692</v>
      </c>
      <c r="F29" s="6">
        <v>-95039113005.062454</v>
      </c>
      <c r="G29" s="6">
        <v>-90857269290.651138</v>
      </c>
      <c r="H29" s="6">
        <v>-86948205772.9189</v>
      </c>
    </row>
    <row r="30" spans="2:11" x14ac:dyDescent="0.45">
      <c r="C30" s="16">
        <v>0.05</v>
      </c>
      <c r="D30" s="6">
        <v>-119478140211.31526</v>
      </c>
      <c r="E30" s="6">
        <v>-113764808024.69501</v>
      </c>
      <c r="F30" s="6">
        <v>-108444563220.50066</v>
      </c>
      <c r="G30" s="6">
        <v>-103484588911.63992</v>
      </c>
      <c r="H30" s="6">
        <v>-98855198002.524628</v>
      </c>
    </row>
  </sheetData>
  <conditionalFormatting sqref="D26:H30">
    <cfRule type="cellIs" dxfId="4" priority="1" operator="lessThan">
      <formula>0</formula>
    </cfRule>
    <cfRule type="cellIs" dxfId="3" priority="2" operator="greaterThan">
      <formula>0</formula>
    </cfRule>
  </conditionalFormatting>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125"/>
  <sheetViews>
    <sheetView workbookViewId="0"/>
  </sheetViews>
  <sheetFormatPr defaultRowHeight="14.25" x14ac:dyDescent="0.45"/>
  <cols>
    <col min="1" max="1" width="2" customWidth="1"/>
    <col min="2" max="2" width="60" customWidth="1"/>
    <col min="3" max="3" width="13" customWidth="1"/>
    <col min="4" max="13" width="12" customWidth="1"/>
  </cols>
  <sheetData>
    <row r="1" spans="2:3" ht="18" x14ac:dyDescent="0.55000000000000004">
      <c r="B1" s="1" t="s">
        <v>414</v>
      </c>
    </row>
    <row r="2" spans="2:3" x14ac:dyDescent="0.45">
      <c r="B2" s="2" t="s">
        <v>415</v>
      </c>
    </row>
    <row r="4" spans="2:3" ht="15.75" x14ac:dyDescent="0.5">
      <c r="B4" s="4" t="s">
        <v>416</v>
      </c>
    </row>
    <row r="5" spans="2:3" x14ac:dyDescent="0.45">
      <c r="B5" t="s">
        <v>417</v>
      </c>
      <c r="C5" s="7">
        <f>J_cmGate</f>
        <v>0.3</v>
      </c>
    </row>
    <row r="6" spans="2:3" x14ac:dyDescent="0.45">
      <c r="B6" t="s">
        <v>418</v>
      </c>
      <c r="C6" s="28">
        <f>IFERROR(MATCH(TRUE,INDEX(D45:D125&gt;=0,0),0),0)</f>
        <v>24</v>
      </c>
    </row>
    <row r="7" spans="2:3" x14ac:dyDescent="0.45">
      <c r="B7" t="s">
        <v>419</v>
      </c>
      <c r="C7" s="37">
        <f>IF(GIdx=0,"none",IF(GIdx=1,C45,INDEX(C45:C125,GIdx-1)+(0-INDEX(D45:D125,GIdx-1))*(INDEX(C45:C125,GIdx)-INDEX(C45:C125,GIdx-1))/(INDEX(D45:D125,GIdx)-INDEX(D45:D125,GIdx-1))))</f>
        <v>0.55148927685872162</v>
      </c>
    </row>
    <row r="8" spans="2:3" x14ac:dyDescent="0.45">
      <c r="B8" t="s">
        <v>420</v>
      </c>
      <c r="C8" s="19">
        <f>Rg_0</f>
        <v>1124653354.6325879</v>
      </c>
    </row>
    <row r="9" spans="2:3" x14ac:dyDescent="0.45">
      <c r="B9" t="s">
        <v>14</v>
      </c>
      <c r="C9" s="19">
        <f>RG_26*(1+GStar)</f>
        <v>1744887619.8956492</v>
      </c>
    </row>
    <row r="10" spans="2:3" x14ac:dyDescent="0.45">
      <c r="B10" t="s">
        <v>15</v>
      </c>
      <c r="C10" s="19">
        <f>RG_26*(1+GStar)^L_gate</f>
        <v>2707174431.5916367</v>
      </c>
    </row>
    <row r="11" spans="2:3" x14ac:dyDescent="0.45">
      <c r="B11" t="s">
        <v>421</v>
      </c>
      <c r="C11" s="19">
        <f>(Cost_26*L_w-Rg_0*(1-Inputs!D41))*L_cap*(1+L_e)-Rg_0*(1+Inputs!D38)*Inputs!D41</f>
        <v>6549319378.1805458</v>
      </c>
    </row>
    <row r="12" spans="2:3" x14ac:dyDescent="0.45">
      <c r="B12" t="s">
        <v>422</v>
      </c>
      <c r="C12" s="19">
        <f>Loss_27/4*(1+J_trip)</f>
        <v>1801062828.9996502</v>
      </c>
    </row>
    <row r="13" spans="2:3" x14ac:dyDescent="0.45">
      <c r="B13" s="10" t="s">
        <v>423</v>
      </c>
    </row>
    <row r="15" spans="2:3" ht="15.75" x14ac:dyDescent="0.5">
      <c r="B15" s="4" t="s">
        <v>424</v>
      </c>
    </row>
    <row r="16" spans="2:3" x14ac:dyDescent="0.45">
      <c r="B16" s="10" t="s">
        <v>425</v>
      </c>
    </row>
    <row r="17" spans="2:13" x14ac:dyDescent="0.45">
      <c r="B17" s="17" t="s">
        <v>426</v>
      </c>
      <c r="C17" s="32">
        <f>NPVc</f>
        <v>-8682652642.8554955</v>
      </c>
      <c r="D17" s="16">
        <v>0.1</v>
      </c>
      <c r="E17" s="16">
        <v>0.2</v>
      </c>
      <c r="F17" s="16">
        <v>0.3</v>
      </c>
      <c r="G17" s="16">
        <v>0.4</v>
      </c>
      <c r="I17" s="32">
        <f>Cont</f>
        <v>0</v>
      </c>
      <c r="J17" s="16">
        <v>0.1</v>
      </c>
      <c r="K17" s="16">
        <v>0.2</v>
      </c>
      <c r="L17" s="16">
        <v>0.3</v>
      </c>
      <c r="M17" s="16">
        <v>0.4</v>
      </c>
    </row>
    <row r="18" spans="2:13" x14ac:dyDescent="0.45">
      <c r="C18" s="16">
        <v>0.1</v>
      </c>
      <c r="D18" s="6">
        <f t="dataTable" ref="D18:G24" dt2D="1" dtr="1" r1="C33" r2="C32" ca="1"/>
        <v>-8913583014.116024</v>
      </c>
      <c r="E18" s="6">
        <v>-8812986954.1392593</v>
      </c>
      <c r="F18" s="6">
        <v>-8712390894.1624947</v>
      </c>
      <c r="G18" s="6">
        <v>-8611794834.18573</v>
      </c>
      <c r="I18" s="16">
        <v>0.1</v>
      </c>
      <c r="J18" s="28">
        <f t="dataTable" ref="J18:M24" dt2D="1" dtr="1" r1="C33" r2="C32" ca="1"/>
        <v>0</v>
      </c>
      <c r="K18" s="28">
        <v>0</v>
      </c>
      <c r="L18" s="28">
        <v>0</v>
      </c>
      <c r="M18" s="28">
        <v>0</v>
      </c>
    </row>
    <row r="19" spans="2:13" x14ac:dyDescent="0.45">
      <c r="C19" s="16">
        <v>0.25</v>
      </c>
      <c r="D19" s="6">
        <v>-8875584137.4459705</v>
      </c>
      <c r="E19" s="6">
        <v>-8736989200.7991486</v>
      </c>
      <c r="F19" s="6">
        <v>-8598394264.1523285</v>
      </c>
      <c r="G19" s="6">
        <v>-8459799327.5055113</v>
      </c>
      <c r="I19" s="16">
        <v>0.25</v>
      </c>
      <c r="J19" s="28">
        <v>0</v>
      </c>
      <c r="K19" s="28">
        <v>0</v>
      </c>
      <c r="L19" s="28">
        <v>0</v>
      </c>
      <c r="M19" s="28">
        <v>0</v>
      </c>
    </row>
    <row r="20" spans="2:13" x14ac:dyDescent="0.45">
      <c r="C20" s="16">
        <v>0.4</v>
      </c>
      <c r="D20" s="6">
        <v>-8834281010.6306915</v>
      </c>
      <c r="E20" s="6">
        <v>-8654382947.1685944</v>
      </c>
      <c r="F20" s="6">
        <v>-8474484883.7064962</v>
      </c>
      <c r="G20" s="6">
        <v>-8294586820.244401</v>
      </c>
      <c r="I20" s="16">
        <v>0.4</v>
      </c>
      <c r="J20" s="28">
        <v>0</v>
      </c>
      <c r="K20" s="28">
        <v>0</v>
      </c>
      <c r="L20" s="28">
        <v>0</v>
      </c>
      <c r="M20" s="28">
        <v>0</v>
      </c>
    </row>
    <row r="21" spans="2:13" x14ac:dyDescent="0.45">
      <c r="C21" s="16">
        <v>0.55000000000000004</v>
      </c>
      <c r="D21" s="6">
        <v>-8789673633.6701927</v>
      </c>
      <c r="E21" s="6">
        <v>-8565168193.2475958</v>
      </c>
      <c r="F21" s="6">
        <v>-8340662752.8249998</v>
      </c>
      <c r="G21" s="6">
        <v>8910615533.5172615</v>
      </c>
      <c r="I21" s="16">
        <v>0.55000000000000004</v>
      </c>
      <c r="J21" s="28">
        <v>0</v>
      </c>
      <c r="K21" s="28">
        <v>0</v>
      </c>
      <c r="L21" s="28">
        <v>0</v>
      </c>
      <c r="M21" s="28">
        <v>1</v>
      </c>
    </row>
    <row r="22" spans="2:13" x14ac:dyDescent="0.45">
      <c r="C22" s="16">
        <v>0.7</v>
      </c>
      <c r="D22" s="6">
        <v>-8741762006.5644703</v>
      </c>
      <c r="E22" s="6">
        <v>6797180085.3765106</v>
      </c>
      <c r="F22" s="6">
        <v>41004450503.839256</v>
      </c>
      <c r="G22" s="6">
        <v>75211720922.302048</v>
      </c>
      <c r="I22" s="16">
        <v>0.7</v>
      </c>
      <c r="J22" s="28">
        <v>0</v>
      </c>
      <c r="K22" s="28">
        <v>1</v>
      </c>
      <c r="L22" s="28">
        <v>1</v>
      </c>
      <c r="M22" s="28">
        <v>1</v>
      </c>
    </row>
    <row r="23" spans="2:13" x14ac:dyDescent="0.45">
      <c r="C23" s="16">
        <v>0.85</v>
      </c>
      <c r="D23" s="6">
        <v>1472605349.8884602</v>
      </c>
      <c r="E23" s="6">
        <v>64562571451.325951</v>
      </c>
      <c r="F23" s="6">
        <v>127652537552.76343</v>
      </c>
      <c r="G23" s="6">
        <v>190742503654.2009</v>
      </c>
      <c r="I23" s="16">
        <v>0.85</v>
      </c>
      <c r="J23" s="28">
        <v>1</v>
      </c>
      <c r="K23" s="28">
        <v>1</v>
      </c>
      <c r="L23" s="28">
        <v>1</v>
      </c>
      <c r="M23" s="28">
        <v>1</v>
      </c>
    </row>
    <row r="24" spans="2:13" x14ac:dyDescent="0.45">
      <c r="C24" s="16">
        <v>1</v>
      </c>
      <c r="D24" s="6">
        <v>49945172703.385826</v>
      </c>
      <c r="E24" s="6">
        <v>161507706158.32068</v>
      </c>
      <c r="F24" s="6">
        <v>273070239613.25558</v>
      </c>
      <c r="G24" s="6">
        <v>384632773068.19037</v>
      </c>
      <c r="I24" s="16">
        <v>1</v>
      </c>
      <c r="J24" s="28">
        <v>1</v>
      </c>
      <c r="K24" s="28">
        <v>1</v>
      </c>
      <c r="L24" s="28">
        <v>1</v>
      </c>
      <c r="M24" s="28">
        <v>1</v>
      </c>
    </row>
    <row r="26" spans="2:13" ht="15.75" x14ac:dyDescent="0.5">
      <c r="B26" s="4" t="s">
        <v>427</v>
      </c>
    </row>
    <row r="27" spans="2:13" x14ac:dyDescent="0.45">
      <c r="B27" t="s">
        <v>428</v>
      </c>
      <c r="C27" s="37">
        <f>IF(IFERROR(MATCH(TRUE,INDEX(H45:H125&gt;=0,0),0),0)=0,"none",IF(IFERROR(MATCH(TRUE,INDEX(H45:H125&gt;=0,0),0),0)=1,G45,INDEX(G45:G125,IFERROR(MATCH(TRUE,INDEX(H45:H125&gt;=0,0),0),0)-1)+(0-INDEX(H45:H125,IFERROR(MATCH(TRUE,INDEX(H45:H125&gt;=0,0),0),0)-1))*(INDEX(G45:G125,IFERROR(MATCH(TRUE,INDEX(H45:H125&gt;=0,0),0),0))-INDEX(G45:G125,IFERROR(MATCH(TRUE,INDEX(H45:H125&gt;=0,0),0),0)-1))/(INDEX(H45:H125,IFERROR(MATCH(TRUE,INDEX(H45:H125&gt;=0,0),0),0))-INDEX(H45:H125,IFERROR(MATCH(TRUE,INDEX(H45:H125&gt;=0,0),0),0)-1))))</f>
        <v>0.9307440521935707</v>
      </c>
    </row>
    <row r="28" spans="2:13" x14ac:dyDescent="0.45">
      <c r="B28" t="s">
        <v>9</v>
      </c>
      <c r="C28" s="37">
        <f>IF(IFERROR(MATCH(TRUE,INDEX(K45:K125&gt;=0,0),0),0)=0,"none",IF(IFERROR(MATCH(TRUE,INDEX(K45:K125&gt;=0,0),0),0)=1,J45,INDEX(J45:J125,IFERROR(MATCH(TRUE,INDEX(K45:K125&gt;=0,0),0),0)-1)+(0-INDEX(K45:K125,IFERROR(MATCH(TRUE,INDEX(K45:K125&gt;=0,0),0),0)-1))*(INDEX(J45:J125,IFERROR(MATCH(TRUE,INDEX(K45:K125&gt;=0,0),0),0))-INDEX(J45:J125,IFERROR(MATCH(TRUE,INDEX(K45:K125&gt;=0,0),0),0)-1))/(INDEX(K45:K125,IFERROR(MATCH(TRUE,INDEX(K45:K125&gt;=0,0),0),0))-INDEX(K45:K125,IFERROR(MATCH(TRUE,INDEX(K45:K125&gt;=0,0),0),0)-1))))</f>
        <v>0.84601261723183885</v>
      </c>
    </row>
    <row r="30" spans="2:13" ht="15.75" x14ac:dyDescent="0.5">
      <c r="B30" s="4" t="s">
        <v>429</v>
      </c>
    </row>
    <row r="31" spans="2:13" x14ac:dyDescent="0.45">
      <c r="B31" s="10" t="s">
        <v>430</v>
      </c>
      <c r="C31" s="31"/>
    </row>
    <row r="32" spans="2:13" x14ac:dyDescent="0.45">
      <c r="B32" s="10" t="s">
        <v>431</v>
      </c>
      <c r="C32" s="31"/>
    </row>
    <row r="33" spans="2:11" x14ac:dyDescent="0.45">
      <c r="B33" s="10" t="s">
        <v>432</v>
      </c>
      <c r="C33" s="31"/>
    </row>
    <row r="34" spans="2:11" x14ac:dyDescent="0.45">
      <c r="B34" s="10" t="s">
        <v>433</v>
      </c>
      <c r="C34" s="31"/>
    </row>
    <row r="35" spans="2:11" x14ac:dyDescent="0.45">
      <c r="B35" s="10" t="s">
        <v>434</v>
      </c>
      <c r="C35" s="31"/>
    </row>
    <row r="43" spans="2:11" ht="15.75" x14ac:dyDescent="0.5">
      <c r="B43" s="4" t="s">
        <v>435</v>
      </c>
    </row>
    <row r="44" spans="2:11" x14ac:dyDescent="0.45">
      <c r="B44" s="10" t="s">
        <v>436</v>
      </c>
      <c r="C44" s="23" t="s">
        <v>437</v>
      </c>
      <c r="D44" s="32">
        <f>ContV-StopV</f>
        <v>-22215359222.980637</v>
      </c>
      <c r="F44" s="10" t="s">
        <v>438</v>
      </c>
      <c r="G44" s="23" t="s">
        <v>437</v>
      </c>
      <c r="H44" s="32">
        <f>NPVc</f>
        <v>-8682652642.8554955</v>
      </c>
      <c r="I44" s="10" t="s">
        <v>439</v>
      </c>
      <c r="J44" s="23" t="s">
        <v>437</v>
      </c>
      <c r="K44" s="32">
        <f>NPVc</f>
        <v>-8682652642.8554955</v>
      </c>
    </row>
    <row r="45" spans="2:11" x14ac:dyDescent="0.45">
      <c r="C45" s="7">
        <v>0</v>
      </c>
      <c r="D45" s="8">
        <f t="dataTable" ref="D45:D125" dt2D="0" dtr="0" r1="C31" ca="1"/>
        <v>-26356797373.475342</v>
      </c>
      <c r="G45" s="7">
        <v>0</v>
      </c>
      <c r="H45" s="8">
        <f t="dataTable" ref="H45:H125" dt2D="0" dtr="0" r1="C34" ca="1"/>
        <v>-87136686871.99295</v>
      </c>
      <c r="J45" s="7">
        <v>0</v>
      </c>
      <c r="K45" s="8">
        <f t="dataTable" ref="K45:K125" dt2D="0" dtr="0" r1="C35" ca="1"/>
        <v>-62801034117.851967</v>
      </c>
    </row>
    <row r="46" spans="2:11" x14ac:dyDescent="0.45">
      <c r="C46" s="7">
        <v>2.5000000000000001E-2</v>
      </c>
      <c r="D46" s="8">
        <v>-26150601502.041908</v>
      </c>
      <c r="G46" s="7">
        <v>2.5000000000000001E-2</v>
      </c>
      <c r="H46" s="8">
        <v>-87011607240.476273</v>
      </c>
      <c r="J46" s="7">
        <v>2.5000000000000001E-2</v>
      </c>
      <c r="K46" s="8">
        <v>-62675954486.335266</v>
      </c>
    </row>
    <row r="47" spans="2:11" x14ac:dyDescent="0.45">
      <c r="C47" s="7">
        <v>0.05</v>
      </c>
      <c r="D47" s="8">
        <v>-25918516299.473267</v>
      </c>
      <c r="G47" s="7">
        <v>0.05</v>
      </c>
      <c r="H47" s="8">
        <v>-86872079945.217682</v>
      </c>
      <c r="J47" s="7">
        <v>0.05</v>
      </c>
      <c r="K47" s="8">
        <v>-62536427191.076683</v>
      </c>
    </row>
    <row r="48" spans="2:11" x14ac:dyDescent="0.45">
      <c r="C48" s="7">
        <v>7.4999999999999997E-2</v>
      </c>
      <c r="D48" s="8">
        <v>-25657705516.82098</v>
      </c>
      <c r="G48" s="7">
        <v>7.4999999999999997E-2</v>
      </c>
      <c r="H48" s="8">
        <v>-86716542314.6203</v>
      </c>
      <c r="J48" s="7">
        <v>7.4999999999999997E-2</v>
      </c>
      <c r="K48" s="8">
        <v>-62380889560.479294</v>
      </c>
    </row>
    <row r="49" spans="3:11" x14ac:dyDescent="0.45">
      <c r="C49" s="7">
        <v>0.1</v>
      </c>
      <c r="D49" s="8">
        <v>-25365069300.933117</v>
      </c>
      <c r="G49" s="7">
        <v>0.1</v>
      </c>
      <c r="H49" s="8">
        <v>-86543286440.611389</v>
      </c>
      <c r="J49" s="7">
        <v>0.1</v>
      </c>
      <c r="K49" s="8">
        <v>-62207633686.470375</v>
      </c>
    </row>
    <row r="50" spans="3:11" x14ac:dyDescent="0.45">
      <c r="C50" s="7">
        <v>0.125</v>
      </c>
      <c r="D50" s="8">
        <v>-25037224289.780781</v>
      </c>
      <c r="G50" s="7">
        <v>0.125</v>
      </c>
      <c r="H50" s="8">
        <v>-86350448211.880295</v>
      </c>
      <c r="J50" s="7">
        <v>0.125</v>
      </c>
      <c r="K50" s="8">
        <v>-62014795457.739281</v>
      </c>
    </row>
    <row r="51" spans="3:11" x14ac:dyDescent="0.45">
      <c r="C51" s="7">
        <v>0.15</v>
      </c>
      <c r="D51" s="8">
        <v>-24670482554.507763</v>
      </c>
      <c r="G51" s="7">
        <v>0.15</v>
      </c>
      <c r="H51" s="8">
        <v>-86135995711.701813</v>
      </c>
      <c r="J51" s="7">
        <v>0.15</v>
      </c>
      <c r="K51" s="8">
        <v>-61800342957.560806</v>
      </c>
    </row>
    <row r="52" spans="3:11" x14ac:dyDescent="0.45">
      <c r="C52" s="7">
        <v>0.17499999999999999</v>
      </c>
      <c r="D52" s="8">
        <v>-24260829340.782867</v>
      </c>
      <c r="G52" s="7">
        <v>0.17499999999999999</v>
      </c>
      <c r="H52" s="8">
        <v>-85897716954.218552</v>
      </c>
      <c r="J52" s="7">
        <v>0.17499999999999999</v>
      </c>
      <c r="K52" s="8">
        <v>-61562064200.077545</v>
      </c>
    </row>
    <row r="53" spans="3:11" x14ac:dyDescent="0.45">
      <c r="C53" s="7">
        <v>0.2</v>
      </c>
      <c r="D53" s="8">
        <v>-23803899560.823822</v>
      </c>
      <c r="G53" s="7">
        <v>0.2</v>
      </c>
      <c r="H53" s="8">
        <v>-85633206932.387924</v>
      </c>
      <c r="J53" s="7">
        <v>0.2</v>
      </c>
      <c r="K53" s="8">
        <v>-61297554178.246925</v>
      </c>
    </row>
    <row r="54" spans="3:11" x14ac:dyDescent="0.45">
      <c r="C54" s="7">
        <v>0.22500000000000001</v>
      </c>
      <c r="D54" s="8">
        <v>-23294952986.236607</v>
      </c>
      <c r="G54" s="7">
        <v>0.22500000000000001</v>
      </c>
      <c r="H54" s="8">
        <v>-85339853950.125076</v>
      </c>
      <c r="J54" s="7">
        <v>0.22500000000000001</v>
      </c>
      <c r="K54" s="8">
        <v>-61004201195.984077</v>
      </c>
    </row>
    <row r="55" spans="3:11" x14ac:dyDescent="0.45">
      <c r="C55" s="7">
        <v>0.25</v>
      </c>
      <c r="D55" s="8">
        <v>-22728848090.575523</v>
      </c>
      <c r="G55" s="7">
        <v>0.25</v>
      </c>
      <c r="H55" s="8">
        <v>-85014825210.490234</v>
      </c>
      <c r="J55" s="7">
        <v>0.25</v>
      </c>
      <c r="K55" s="8">
        <v>-60679172456.349228</v>
      </c>
    </row>
    <row r="56" spans="3:11" x14ac:dyDescent="0.45">
      <c r="C56" s="7">
        <v>0.27500000000000002</v>
      </c>
      <c r="D56" s="8">
        <v>-22100014489.276031</v>
      </c>
      <c r="G56" s="7">
        <v>0.27500000000000002</v>
      </c>
      <c r="H56" s="8">
        <v>-84655051631.07869</v>
      </c>
      <c r="J56" s="7">
        <v>0.27500000000000002</v>
      </c>
      <c r="K56" s="8">
        <v>-60319398876.937698</v>
      </c>
    </row>
    <row r="57" spans="3:11" x14ac:dyDescent="0.45">
      <c r="C57" s="7">
        <v>0.3</v>
      </c>
      <c r="D57" s="8">
        <v>-21402423923.345516</v>
      </c>
      <c r="G57" s="7">
        <v>0.3</v>
      </c>
      <c r="H57" s="8">
        <v>-84257211857.073563</v>
      </c>
      <c r="J57" s="7">
        <v>0.3</v>
      </c>
      <c r="K57" s="8">
        <v>-59921559102.932564</v>
      </c>
    </row>
    <row r="58" spans="3:11" x14ac:dyDescent="0.45">
      <c r="C58" s="7">
        <v>0.32500000000000001</v>
      </c>
      <c r="D58" s="8">
        <v>-20629559731.915977</v>
      </c>
      <c r="G58" s="7">
        <v>0.32500000000000001</v>
      </c>
      <c r="H58" s="8">
        <v>-83817715441.715652</v>
      </c>
      <c r="J58" s="7">
        <v>0.32500000000000001</v>
      </c>
      <c r="K58" s="8">
        <v>-59482062687.574631</v>
      </c>
    </row>
    <row r="59" spans="3:11" x14ac:dyDescent="0.45">
      <c r="C59" s="7">
        <v>0.35</v>
      </c>
      <c r="D59" s="8">
        <v>-19774384757.467377</v>
      </c>
      <c r="G59" s="7">
        <v>0.35</v>
      </c>
      <c r="H59" s="8">
        <v>-83332685163.230789</v>
      </c>
      <c r="J59" s="7">
        <v>0.35</v>
      </c>
      <c r="K59" s="8">
        <v>-58997032409.089783</v>
      </c>
    </row>
    <row r="60" spans="3:11" x14ac:dyDescent="0.45">
      <c r="C60" s="7">
        <v>0.375</v>
      </c>
      <c r="D60" s="8">
        <v>-18829307626.221252</v>
      </c>
      <c r="G60" s="7">
        <v>0.375</v>
      </c>
      <c r="H60" s="8">
        <v>-82797938446.53447</v>
      </c>
      <c r="J60" s="7">
        <v>0.375</v>
      </c>
      <c r="K60" s="8">
        <v>-58462285692.393463</v>
      </c>
    </row>
    <row r="61" spans="3:11" x14ac:dyDescent="0.45">
      <c r="C61" s="7">
        <v>0.4</v>
      </c>
      <c r="D61" s="8">
        <v>-17786147344.880608</v>
      </c>
      <c r="G61" s="7">
        <v>0.4</v>
      </c>
      <c r="H61" s="8">
        <v>-82208967857.303253</v>
      </c>
      <c r="J61" s="7">
        <v>0.4</v>
      </c>
      <c r="K61" s="8">
        <v>-57873315103.162254</v>
      </c>
    </row>
    <row r="62" spans="3:11" x14ac:dyDescent="0.45">
      <c r="C62" s="7">
        <v>0.42499999999999999</v>
      </c>
      <c r="D62" s="8">
        <v>-16636096153.554888</v>
      </c>
      <c r="G62" s="7">
        <v>0.42499999999999999</v>
      </c>
      <c r="H62" s="8">
        <v>-81560920635.266861</v>
      </c>
      <c r="J62" s="7">
        <v>0.42499999999999999</v>
      </c>
      <c r="K62" s="8">
        <v>-57225267881.125854</v>
      </c>
    </row>
    <row r="63" spans="3:11" x14ac:dyDescent="0.45">
      <c r="C63" s="7">
        <v>0.45</v>
      </c>
      <c r="D63" s="8">
        <v>-15369680573.357239</v>
      </c>
      <c r="G63" s="7">
        <v>0.45</v>
      </c>
      <c r="H63" s="8">
        <v>-80848577232.829239</v>
      </c>
      <c r="J63" s="7">
        <v>0.45</v>
      </c>
      <c r="K63" s="8">
        <v>-56512924478.688232</v>
      </c>
    </row>
    <row r="64" spans="3:11" x14ac:dyDescent="0.45">
      <c r="C64" s="7">
        <v>0.47499999999999998</v>
      </c>
      <c r="D64" s="8">
        <v>-13976720585.795485</v>
      </c>
      <c r="G64" s="7">
        <v>0.47499999999999998</v>
      </c>
      <c r="H64" s="8">
        <v>-80066328824.374847</v>
      </c>
      <c r="J64" s="7">
        <v>0.47499999999999998</v>
      </c>
      <c r="K64" s="8">
        <v>-55730676070.233856</v>
      </c>
    </row>
    <row r="65" spans="3:11" x14ac:dyDescent="0.45">
      <c r="C65" s="7">
        <v>0.5</v>
      </c>
      <c r="D65" s="8">
        <v>-12446286879.699024</v>
      </c>
      <c r="G65" s="7">
        <v>0.5</v>
      </c>
      <c r="H65" s="8">
        <v>-79208153750.856552</v>
      </c>
      <c r="J65" s="7">
        <v>0.5</v>
      </c>
      <c r="K65" s="8">
        <v>-54872500996.715546</v>
      </c>
    </row>
    <row r="66" spans="3:11" x14ac:dyDescent="0.45">
      <c r="C66" s="7">
        <v>0.52500000000000002</v>
      </c>
      <c r="D66" s="8">
        <v>-7455263639.259552</v>
      </c>
      <c r="G66" s="7">
        <v>0.52500000000000002</v>
      </c>
      <c r="H66" s="8">
        <v>-78267592863.492859</v>
      </c>
      <c r="J66" s="7">
        <v>0.52500000000000002</v>
      </c>
      <c r="K66" s="8">
        <v>-53931940109.35186</v>
      </c>
    </row>
    <row r="67" spans="3:11" x14ac:dyDescent="0.45">
      <c r="C67" s="7">
        <v>0.55000000000000004</v>
      </c>
      <c r="D67" s="8">
        <v>-460666099.75842071</v>
      </c>
      <c r="G67" s="7">
        <v>0.55000000000000004</v>
      </c>
      <c r="H67" s="8">
        <v>-77237723729.627533</v>
      </c>
      <c r="J67" s="7">
        <v>0.55000000000000004</v>
      </c>
      <c r="K67" s="8">
        <v>-52902070975.486534</v>
      </c>
    </row>
    <row r="68" spans="3:11" x14ac:dyDescent="0.45">
      <c r="C68" s="7">
        <v>0.57499999999999996</v>
      </c>
      <c r="D68" s="8">
        <v>7272383955.04883</v>
      </c>
      <c r="G68" s="7">
        <v>0.57499999999999996</v>
      </c>
      <c r="H68" s="8">
        <v>-76111133663.020233</v>
      </c>
      <c r="J68" s="7">
        <v>0.57499999999999996</v>
      </c>
      <c r="K68" s="8">
        <v>-51775480908.879227</v>
      </c>
    </row>
    <row r="69" spans="3:11" x14ac:dyDescent="0.45">
      <c r="C69" s="7">
        <v>0.6</v>
      </c>
      <c r="D69" s="8">
        <v>15810634612.025988</v>
      </c>
      <c r="G69" s="7">
        <v>0.6</v>
      </c>
      <c r="H69" s="8">
        <v>-74879891540.046494</v>
      </c>
      <c r="J69" s="7">
        <v>0.6</v>
      </c>
      <c r="K69" s="8">
        <v>-50544238785.905495</v>
      </c>
    </row>
    <row r="70" spans="3:11" x14ac:dyDescent="0.45">
      <c r="C70" s="7">
        <v>0.625</v>
      </c>
      <c r="D70" s="8">
        <v>25225876333.410465</v>
      </c>
      <c r="G70" s="7">
        <v>0.625</v>
      </c>
      <c r="H70" s="8">
        <v>-73535518362.485687</v>
      </c>
      <c r="J70" s="7">
        <v>0.625</v>
      </c>
      <c r="K70" s="8">
        <v>-49199865608.344704</v>
      </c>
    </row>
    <row r="71" spans="3:11" x14ac:dyDescent="0.45">
      <c r="C71" s="7">
        <v>0.65</v>
      </c>
      <c r="D71" s="8">
        <v>35595250381.664017</v>
      </c>
      <c r="G71" s="7">
        <v>0.65</v>
      </c>
      <c r="H71" s="8">
        <v>-72068956526.769577</v>
      </c>
      <c r="J71" s="7">
        <v>0.65</v>
      </c>
      <c r="K71" s="8">
        <v>-47733303772.628571</v>
      </c>
    </row>
    <row r="72" spans="3:11" x14ac:dyDescent="0.45">
      <c r="C72" s="7">
        <v>0.67500000000000004</v>
      </c>
      <c r="D72" s="8">
        <v>47001571855.016159</v>
      </c>
      <c r="G72" s="7">
        <v>0.67500000000000004</v>
      </c>
      <c r="H72" s="8">
        <v>-70470537758.748962</v>
      </c>
      <c r="J72" s="7">
        <v>0.67500000000000004</v>
      </c>
      <c r="K72" s="8">
        <v>-46134885004.607956</v>
      </c>
    </row>
    <row r="73" spans="3:11" x14ac:dyDescent="0.45">
      <c r="C73" s="7">
        <v>0.7</v>
      </c>
      <c r="D73" s="8">
        <v>59533667834.169991</v>
      </c>
      <c r="G73" s="7">
        <v>0.7</v>
      </c>
      <c r="H73" s="8">
        <v>-68729949672.214645</v>
      </c>
      <c r="J73" s="7">
        <v>0.7</v>
      </c>
      <c r="K73" s="8">
        <v>-44394296918.073639</v>
      </c>
    </row>
    <row r="74" spans="3:11" x14ac:dyDescent="0.45">
      <c r="C74" s="7">
        <v>0.72499999999999998</v>
      </c>
      <c r="D74" s="8">
        <v>73286731151.60228</v>
      </c>
      <c r="G74" s="7">
        <v>0.72499999999999998</v>
      </c>
      <c r="H74" s="8">
        <v>-66836200908.57753</v>
      </c>
      <c r="J74" s="7">
        <v>0.72499999999999998</v>
      </c>
      <c r="K74" s="8">
        <v>-42500548154.436523</v>
      </c>
    </row>
    <row r="75" spans="3:11" x14ac:dyDescent="0.45">
      <c r="C75" s="7">
        <v>0.75</v>
      </c>
      <c r="D75" s="8">
        <v>88362690305.959503</v>
      </c>
      <c r="G75" s="7">
        <v>0.75</v>
      </c>
      <c r="H75" s="8">
        <v>-64777584814.27681</v>
      </c>
      <c r="J75" s="7">
        <v>0.75</v>
      </c>
      <c r="K75" s="8">
        <v>-39952974218.034317</v>
      </c>
    </row>
    <row r="76" spans="3:11" x14ac:dyDescent="0.45">
      <c r="C76" s="7">
        <v>0.77500000000000002</v>
      </c>
      <c r="D76" s="8">
        <v>104870596055.2468</v>
      </c>
      <c r="G76" s="7">
        <v>0.77500000000000002</v>
      </c>
      <c r="H76" s="8">
        <v>-62541641611.637848</v>
      </c>
      <c r="J76" s="7">
        <v>0.77500000000000002</v>
      </c>
      <c r="K76" s="8">
        <v>-30840729168.036541</v>
      </c>
    </row>
    <row r="77" spans="3:11" x14ac:dyDescent="0.45">
      <c r="C77" s="7">
        <v>0.8</v>
      </c>
      <c r="D77" s="8">
        <v>122927025233.80284</v>
      </c>
      <c r="G77" s="7">
        <v>0.8</v>
      </c>
      <c r="H77" s="8">
        <v>-60115119018.0495</v>
      </c>
      <c r="J77" s="7">
        <v>0.8</v>
      </c>
      <c r="K77" s="8">
        <v>-20875119595.821114</v>
      </c>
    </row>
    <row r="78" spans="3:11" x14ac:dyDescent="0.45">
      <c r="C78" s="7">
        <v>0.82499999999999996</v>
      </c>
      <c r="D78" s="8">
        <v>142656502349.47586</v>
      </c>
      <c r="G78" s="7">
        <v>0.82499999999999996</v>
      </c>
      <c r="H78" s="8">
        <v>-57483931267.469345</v>
      </c>
      <c r="J78" s="7">
        <v>0.82499999999999996</v>
      </c>
      <c r="K78" s="8">
        <v>-9987536957.1190033</v>
      </c>
    </row>
    <row r="79" spans="3:11" x14ac:dyDescent="0.45">
      <c r="C79" s="7">
        <v>0.85</v>
      </c>
      <c r="D79" s="8">
        <v>164191939528.94733</v>
      </c>
      <c r="G79" s="7">
        <v>0.85</v>
      </c>
      <c r="H79" s="8">
        <v>-46263005163.63578</v>
      </c>
      <c r="J79" s="7">
        <v>0.85</v>
      </c>
      <c r="K79" s="8">
        <v>1895248569.9328194</v>
      </c>
    </row>
    <row r="80" spans="3:11" x14ac:dyDescent="0.45">
      <c r="C80" s="7">
        <v>0.875</v>
      </c>
      <c r="D80" s="8">
        <v>187675095390.79019</v>
      </c>
      <c r="G80" s="7">
        <v>0.875</v>
      </c>
      <c r="H80" s="8">
        <v>-33306912826.155464</v>
      </c>
      <c r="J80" s="7">
        <v>0.875</v>
      </c>
      <c r="K80" s="8">
        <v>14851340907.413124</v>
      </c>
    </row>
    <row r="81" spans="3:11" x14ac:dyDescent="0.45">
      <c r="C81" s="7">
        <v>0.9</v>
      </c>
      <c r="D81" s="8">
        <v>213257053437.61737</v>
      </c>
      <c r="G81" s="7">
        <v>0.9</v>
      </c>
      <c r="H81" s="8">
        <v>-19194272079.010895</v>
      </c>
      <c r="J81" s="7">
        <v>0.9</v>
      </c>
      <c r="K81" s="8">
        <v>28963981654.557678</v>
      </c>
    </row>
    <row r="82" spans="3:11" x14ac:dyDescent="0.45">
      <c r="C82" s="7">
        <v>0.92500000000000004</v>
      </c>
      <c r="D82" s="8">
        <v>241098720570.54178</v>
      </c>
      <c r="G82" s="7">
        <v>0.92500000000000004</v>
      </c>
      <c r="H82" s="8">
        <v>-3836428982.1949768</v>
      </c>
      <c r="J82" s="7">
        <v>0.92500000000000004</v>
      </c>
      <c r="K82" s="8">
        <v>44321824751.373611</v>
      </c>
    </row>
    <row r="83" spans="3:11" x14ac:dyDescent="0.45">
      <c r="C83" s="7">
        <v>0.95</v>
      </c>
      <c r="D83" s="8">
        <v>271371346341.16339</v>
      </c>
      <c r="G83" s="7">
        <v>0.95</v>
      </c>
      <c r="H83" s="8">
        <v>12860968834.319901</v>
      </c>
      <c r="J83" s="7">
        <v>0.95</v>
      </c>
      <c r="K83" s="8">
        <v>61019222567.888474</v>
      </c>
    </row>
    <row r="84" spans="3:11" x14ac:dyDescent="0.45">
      <c r="C84" s="7">
        <v>0.97499999999999998</v>
      </c>
      <c r="D84" s="8">
        <v>304257063568.40033</v>
      </c>
      <c r="G84" s="7">
        <v>0.97499999999999998</v>
      </c>
      <c r="H84" s="8">
        <v>30998270031.094597</v>
      </c>
      <c r="J84" s="7">
        <v>0.97499999999999998</v>
      </c>
      <c r="K84" s="8">
        <v>79156523764.663162</v>
      </c>
    </row>
    <row r="85" spans="3:11" x14ac:dyDescent="0.45">
      <c r="C85" s="7">
        <v>1</v>
      </c>
      <c r="D85" s="8">
        <v>339949450959.69482</v>
      </c>
      <c r="G85" s="7">
        <v>1</v>
      </c>
      <c r="H85" s="8">
        <v>50682129543.358978</v>
      </c>
      <c r="J85" s="7">
        <v>1</v>
      </c>
      <c r="K85" s="8">
        <v>98840383276.927551</v>
      </c>
    </row>
    <row r="86" spans="3:11" x14ac:dyDescent="0.45">
      <c r="C86" s="7">
        <v>1.0249999999999999</v>
      </c>
      <c r="D86" s="8">
        <v>378654118388.46204</v>
      </c>
      <c r="G86" s="7">
        <v>1.0249999999999999</v>
      </c>
      <c r="H86" s="8">
        <v>72025831047.925903</v>
      </c>
      <c r="J86" s="7">
        <v>1.0249999999999999</v>
      </c>
      <c r="K86" s="8">
        <v>120184084781.49451</v>
      </c>
    </row>
    <row r="87" spans="3:11" x14ac:dyDescent="0.45">
      <c r="C87" s="7">
        <v>1.05</v>
      </c>
      <c r="D87" s="8">
        <v>420589315492.0899</v>
      </c>
      <c r="G87" s="7">
        <v>1.05</v>
      </c>
      <c r="H87" s="8">
        <v>95149622278.893402</v>
      </c>
      <c r="J87" s="7">
        <v>1.05</v>
      </c>
      <c r="K87" s="8">
        <v>143307876012.46194</v>
      </c>
    </row>
    <row r="88" spans="3:11" x14ac:dyDescent="0.45">
      <c r="C88" s="7">
        <v>1.075</v>
      </c>
      <c r="D88" s="8">
        <v>465986564267.36035</v>
      </c>
      <c r="G88" s="7">
        <v>1.075</v>
      </c>
      <c r="H88" s="8">
        <v>120181063565.06683</v>
      </c>
      <c r="J88" s="7">
        <v>1.075</v>
      </c>
      <c r="K88" s="8">
        <v>168339317298.63547</v>
      </c>
    </row>
    <row r="89" spans="3:11" x14ac:dyDescent="0.45">
      <c r="C89" s="7">
        <v>1.1000000000000001</v>
      </c>
      <c r="D89" s="8">
        <v>515091316352.83551</v>
      </c>
      <c r="G89" s="7">
        <v>1.1000000000000001</v>
      </c>
      <c r="H89" s="8">
        <v>147255389969.01495</v>
      </c>
      <c r="J89" s="7">
        <v>1.1000000000000001</v>
      </c>
      <c r="K89" s="8">
        <v>195413643702.58356</v>
      </c>
    </row>
    <row r="90" spans="3:11" x14ac:dyDescent="0.45">
      <c r="C90" s="7">
        <v>1.125</v>
      </c>
      <c r="D90" s="8">
        <v>568163635700.54407</v>
      </c>
      <c r="G90" s="7">
        <v>1.125</v>
      </c>
      <c r="H90" s="8">
        <v>176515887414.72058</v>
      </c>
      <c r="J90" s="7">
        <v>1.125</v>
      </c>
      <c r="K90" s="8">
        <v>224674141148.28912</v>
      </c>
    </row>
    <row r="91" spans="3:11" x14ac:dyDescent="0.45">
      <c r="C91" s="7">
        <v>1.1499999999999999</v>
      </c>
      <c r="D91" s="8">
        <v>625478907352.19775</v>
      </c>
      <c r="G91" s="7">
        <v>1.1499999999999999</v>
      </c>
      <c r="H91" s="8">
        <v>208114283197.89246</v>
      </c>
      <c r="J91" s="7">
        <v>1.1499999999999999</v>
      </c>
      <c r="K91" s="8">
        <v>256272536931.46103</v>
      </c>
    </row>
    <row r="92" spans="3:11" x14ac:dyDescent="0.45">
      <c r="C92" s="7">
        <v>1.175</v>
      </c>
      <c r="D92" s="8">
        <v>687328573048.19519</v>
      </c>
      <c r="G92" s="7">
        <v>1.175</v>
      </c>
      <c r="H92" s="8">
        <v>242211151280.18286</v>
      </c>
      <c r="J92" s="7">
        <v>1.175</v>
      </c>
      <c r="K92" s="8">
        <v>290369405013.75146</v>
      </c>
    </row>
    <row r="93" spans="3:11" x14ac:dyDescent="0.45">
      <c r="C93" s="7">
        <v>1.2</v>
      </c>
      <c r="D93" s="8">
        <v>754020894410.79041</v>
      </c>
      <c r="G93" s="7">
        <v>1.2</v>
      </c>
      <c r="H93" s="8">
        <v>278976332775.78119</v>
      </c>
      <c r="J93" s="7">
        <v>1.2</v>
      </c>
      <c r="K93" s="8">
        <v>327134586509.34973</v>
      </c>
    </row>
    <row r="94" spans="3:11" x14ac:dyDescent="0.45">
      <c r="C94" s="7">
        <v>1.2250000000000001</v>
      </c>
      <c r="D94" s="8">
        <v>825881744456.05444</v>
      </c>
      <c r="G94" s="7">
        <v>1.2250000000000001</v>
      </c>
      <c r="H94" s="8">
        <v>318589372046.15942</v>
      </c>
      <c r="J94" s="7">
        <v>1.2250000000000001</v>
      </c>
      <c r="K94" s="8">
        <v>366747625779.72803</v>
      </c>
    </row>
    <row r="95" spans="3:11" x14ac:dyDescent="0.45">
      <c r="C95" s="7">
        <v>1.25</v>
      </c>
      <c r="D95" s="8">
        <v>903255428202.62939</v>
      </c>
      <c r="G95" s="7">
        <v>1.25</v>
      </c>
      <c r="H95" s="8">
        <v>361239968826.10614</v>
      </c>
      <c r="J95" s="7">
        <v>1.25</v>
      </c>
      <c r="K95" s="8">
        <v>409398222559.67487</v>
      </c>
    </row>
    <row r="96" spans="3:11" x14ac:dyDescent="0.45">
      <c r="C96" s="7">
        <v>1.2749999999999999</v>
      </c>
      <c r="D96" s="8">
        <v>986505533158.71521</v>
      </c>
      <c r="G96" s="7">
        <v>1.2749999999999999</v>
      </c>
      <c r="H96" s="8">
        <v>407128446811.59967</v>
      </c>
      <c r="J96" s="7">
        <v>1.2749999999999999</v>
      </c>
      <c r="K96" s="8">
        <v>455286700545.16815</v>
      </c>
    </row>
    <row r="97" spans="3:11" x14ac:dyDescent="0.45">
      <c r="C97" s="7">
        <v>1.3</v>
      </c>
      <c r="D97" s="8">
        <v>1076015810482.3566</v>
      </c>
      <c r="G97" s="7">
        <v>1.3</v>
      </c>
      <c r="H97" s="8">
        <v>456466239147.56793</v>
      </c>
      <c r="J97" s="7">
        <v>1.3</v>
      </c>
      <c r="K97" s="8">
        <v>504624492881.1366</v>
      </c>
    </row>
    <row r="98" spans="3:11" x14ac:dyDescent="0.45">
      <c r="C98" s="7">
        <v>1.325</v>
      </c>
      <c r="D98" s="8">
        <v>1172191087623.7722</v>
      </c>
      <c r="G98" s="7">
        <v>1.325</v>
      </c>
      <c r="H98" s="8">
        <v>509476391261.12878</v>
      </c>
      <c r="J98" s="7">
        <v>1.325</v>
      </c>
      <c r="K98" s="8">
        <v>557634644994.69739</v>
      </c>
    </row>
    <row r="99" spans="3:11" x14ac:dyDescent="0.45">
      <c r="C99" s="7">
        <v>1.35</v>
      </c>
      <c r="D99" s="8">
        <v>1275458213272.2996</v>
      </c>
      <c r="G99" s="7">
        <v>1.35</v>
      </c>
      <c r="H99" s="8">
        <v>566394081493.51514</v>
      </c>
      <c r="J99" s="7">
        <v>1.35</v>
      </c>
      <c r="K99" s="8">
        <v>614552335227.08374</v>
      </c>
    </row>
    <row r="100" spans="3:11" x14ac:dyDescent="0.45">
      <c r="C100" s="7">
        <v>1.375</v>
      </c>
      <c r="D100" s="8">
        <v>1386267035444.4495</v>
      </c>
      <c r="G100" s="7">
        <v>1.375</v>
      </c>
      <c r="H100" s="8">
        <v>627467159991.5647</v>
      </c>
      <c r="J100" s="7">
        <v>1.375</v>
      </c>
      <c r="K100" s="8">
        <v>675625413725.13342</v>
      </c>
    </row>
    <row r="101" spans="3:11" x14ac:dyDescent="0.45">
      <c r="C101" s="7">
        <v>1.4</v>
      </c>
      <c r="D101" s="8">
        <v>1505091413563.6257</v>
      </c>
      <c r="G101" s="7">
        <v>1.4</v>
      </c>
      <c r="H101" s="8">
        <v>692956706327.40088</v>
      </c>
      <c r="J101" s="7">
        <v>1.4</v>
      </c>
      <c r="K101" s="8">
        <v>741114960060.96936</v>
      </c>
    </row>
    <row r="102" spans="3:11" x14ac:dyDescent="0.45">
      <c r="C102" s="7">
        <v>1.425</v>
      </c>
      <c r="D102" s="8">
        <v>1632430265396.1902</v>
      </c>
      <c r="G102" s="7">
        <v>1.425</v>
      </c>
      <c r="H102" s="8">
        <v>763137606322.71045</v>
      </c>
      <c r="J102" s="7">
        <v>1.425</v>
      </c>
      <c r="K102" s="8">
        <v>811295860056.2793</v>
      </c>
    </row>
    <row r="103" spans="3:11" x14ac:dyDescent="0.45">
      <c r="C103" s="7">
        <v>1.45</v>
      </c>
      <c r="D103" s="8">
        <v>1768808649722.8801</v>
      </c>
      <c r="G103" s="7">
        <v>1.45</v>
      </c>
      <c r="H103" s="8">
        <v>838299148561.92224</v>
      </c>
      <c r="J103" s="7">
        <v>1.45</v>
      </c>
      <c r="K103" s="8">
        <v>886457402295.4906</v>
      </c>
    </row>
    <row r="104" spans="3:11" x14ac:dyDescent="0.45">
      <c r="C104" s="7">
        <v>1.4750000000000001</v>
      </c>
      <c r="D104" s="8">
        <v>1914778885638.9148</v>
      </c>
      <c r="G104" s="7">
        <v>1.4750000000000001</v>
      </c>
      <c r="H104" s="8">
        <v>918745641086.479</v>
      </c>
      <c r="J104" s="7">
        <v>1.4750000000000001</v>
      </c>
      <c r="K104" s="8">
        <v>966903894820.04712</v>
      </c>
    </row>
    <row r="105" spans="3:11" x14ac:dyDescent="0.45">
      <c r="C105" s="7">
        <v>1.5</v>
      </c>
      <c r="D105" s="8">
        <v>2070921709390.686</v>
      </c>
      <c r="G105" s="7">
        <v>1.5</v>
      </c>
      <c r="H105" s="8">
        <v>1004797048770.4253</v>
      </c>
      <c r="J105" s="7">
        <v>1.5</v>
      </c>
      <c r="K105" s="8">
        <v>1052955302503.9939</v>
      </c>
    </row>
    <row r="106" spans="3:11" x14ac:dyDescent="0.45">
      <c r="C106" s="7">
        <v>1.5249999999999999</v>
      </c>
      <c r="D106" s="8">
        <v>2237847469671.4858</v>
      </c>
      <c r="G106" s="7">
        <v>1.5249999999999999</v>
      </c>
      <c r="H106" s="8">
        <v>1096789651885.5481</v>
      </c>
      <c r="J106" s="7">
        <v>1.5249999999999999</v>
      </c>
      <c r="K106" s="8">
        <v>1144947905619.1167</v>
      </c>
    </row>
    <row r="107" spans="3:11" x14ac:dyDescent="0.45">
      <c r="C107" s="7">
        <v>1.55</v>
      </c>
      <c r="D107" s="8">
        <v>2416197362313.5117</v>
      </c>
      <c r="G107" s="7">
        <v>1.55</v>
      </c>
      <c r="H107" s="8">
        <v>1195076726372.4517</v>
      </c>
      <c r="J107" s="7">
        <v>1.55</v>
      </c>
      <c r="K107" s="8">
        <v>1243234980106.02</v>
      </c>
    </row>
    <row r="108" spans="3:11" x14ac:dyDescent="0.45">
      <c r="C108" s="7">
        <v>1.575</v>
      </c>
      <c r="D108" s="8">
        <v>2606644705328.1899</v>
      </c>
      <c r="G108" s="7">
        <v>1.575</v>
      </c>
      <c r="H108" s="8">
        <v>1300029246342.1152</v>
      </c>
      <c r="J108" s="7">
        <v>1.575</v>
      </c>
      <c r="K108" s="8">
        <v>1348187500075.6836</v>
      </c>
    </row>
    <row r="109" spans="3:11" x14ac:dyDescent="0.45">
      <c r="C109" s="7">
        <v>1.6</v>
      </c>
      <c r="D109" s="8">
        <v>2809896255261.8413</v>
      </c>
      <c r="G109" s="7">
        <v>1.6</v>
      </c>
      <c r="H109" s="8">
        <v>1412036609340.7197</v>
      </c>
      <c r="J109" s="7">
        <v>1.6</v>
      </c>
      <c r="K109" s="8">
        <v>1460194863074.2881</v>
      </c>
    </row>
    <row r="110" spans="3:11" x14ac:dyDescent="0.45">
      <c r="C110" s="7">
        <v>1.625</v>
      </c>
      <c r="D110" s="8">
        <v>3026693565848.7896</v>
      </c>
      <c r="G110" s="7">
        <v>1.625</v>
      </c>
      <c r="H110" s="8">
        <v>1531507384918.8584</v>
      </c>
      <c r="J110" s="7">
        <v>1.625</v>
      </c>
      <c r="K110" s="8">
        <v>1579665638652.4272</v>
      </c>
    </row>
    <row r="111" spans="3:11" x14ac:dyDescent="0.45">
      <c r="C111" s="7">
        <v>1.65</v>
      </c>
      <c r="D111" s="8">
        <v>3257814389959.1743</v>
      </c>
      <c r="G111" s="7">
        <v>1.65</v>
      </c>
      <c r="H111" s="8">
        <v>1658870087054.5691</v>
      </c>
      <c r="J111" s="7">
        <v>1.65</v>
      </c>
      <c r="K111" s="8">
        <v>1707028340788.1372</v>
      </c>
    </row>
    <row r="112" spans="3:11" x14ac:dyDescent="0.45">
      <c r="C112" s="7">
        <v>1.675</v>
      </c>
      <c r="D112" s="8">
        <v>3504074125854.0571</v>
      </c>
      <c r="G112" s="7">
        <v>1.675</v>
      </c>
      <c r="H112" s="8">
        <v>1794573970988.1052</v>
      </c>
      <c r="J112" s="7">
        <v>1.675</v>
      </c>
      <c r="K112" s="8">
        <v>1842732224721.6738</v>
      </c>
    </row>
    <row r="113" spans="3:11" x14ac:dyDescent="0.45">
      <c r="C113" s="7">
        <v>1.7</v>
      </c>
      <c r="D113" s="8">
        <v>3766327308775.8306</v>
      </c>
      <c r="G113" s="7">
        <v>1.7</v>
      </c>
      <c r="H113" s="8">
        <v>1939089855034.8359</v>
      </c>
      <c r="J113" s="7">
        <v>1.7</v>
      </c>
      <c r="K113" s="8">
        <v>1987248108768.4043</v>
      </c>
    </row>
    <row r="114" spans="3:11" x14ac:dyDescent="0.45">
      <c r="C114" s="7">
        <v>1.7250000000000001</v>
      </c>
      <c r="D114" s="8">
        <v>4045469148917.4063</v>
      </c>
      <c r="G114" s="7">
        <v>1.7250000000000001</v>
      </c>
      <c r="H114" s="8">
        <v>2092910967951.1851</v>
      </c>
      <c r="J114" s="7">
        <v>1.7250000000000001</v>
      </c>
      <c r="K114" s="8">
        <v>2141069221684.7534</v>
      </c>
    </row>
    <row r="115" spans="3:11" x14ac:dyDescent="0.45">
      <c r="C115" s="7">
        <v>1.75</v>
      </c>
      <c r="D115" s="8">
        <v>4342437116829.4468</v>
      </c>
      <c r="G115" s="7">
        <v>1.75</v>
      </c>
      <c r="H115" s="8">
        <v>2256553822437.2427</v>
      </c>
      <c r="J115" s="7">
        <v>1.75</v>
      </c>
      <c r="K115" s="8">
        <v>2304712076170.8115</v>
      </c>
    </row>
    <row r="116" spans="3:11" x14ac:dyDescent="0.45">
      <c r="C116" s="7">
        <v>1.7749999999999999</v>
      </c>
      <c r="D116" s="8">
        <v>4658212577340.4775</v>
      </c>
      <c r="G116" s="7">
        <v>1.7749999999999999</v>
      </c>
      <c r="H116" s="8">
        <v>2430559115368.2295</v>
      </c>
      <c r="J116" s="7">
        <v>1.7749999999999999</v>
      </c>
      <c r="K116" s="8">
        <v>2478717369101.7983</v>
      </c>
    </row>
    <row r="117" spans="3:11" x14ac:dyDescent="0.45">
      <c r="C117" s="7">
        <v>1.8</v>
      </c>
      <c r="D117" s="8">
        <v>4993822473080.7314</v>
      </c>
      <c r="G117" s="7">
        <v>1.8</v>
      </c>
      <c r="H117" s="8">
        <v>2615492655355.8447</v>
      </c>
      <c r="J117" s="7">
        <v>1.8</v>
      </c>
      <c r="K117" s="8">
        <v>2663650909089.4136</v>
      </c>
    </row>
    <row r="118" spans="3:11" x14ac:dyDescent="0.45">
      <c r="C118" s="7">
        <v>1.825</v>
      </c>
      <c r="D118" s="8">
        <v>5350341058716.5117</v>
      </c>
      <c r="G118" s="7">
        <v>1.825</v>
      </c>
      <c r="H118" s="8">
        <v>2811946318249.29</v>
      </c>
      <c r="J118" s="7">
        <v>1.825</v>
      </c>
      <c r="K118" s="8">
        <v>2860104571982.8589</v>
      </c>
    </row>
    <row r="119" spans="3:11" x14ac:dyDescent="0.45">
      <c r="C119" s="7">
        <v>1.85</v>
      </c>
      <c r="D119" s="8">
        <v>5728891687017.9434</v>
      </c>
      <c r="G119" s="7">
        <v>1.85</v>
      </c>
      <c r="H119" s="8">
        <v>3020539031194.6411</v>
      </c>
      <c r="J119" s="7">
        <v>1.85</v>
      </c>
      <c r="K119" s="8">
        <v>3068697284928.21</v>
      </c>
    </row>
    <row r="120" spans="3:11" x14ac:dyDescent="0.45">
      <c r="C120" s="7">
        <v>1.875</v>
      </c>
      <c r="D120" s="8">
        <v>6130648647899.2637</v>
      </c>
      <c r="G120" s="7">
        <v>1.875</v>
      </c>
      <c r="H120" s="8">
        <v>3241917785880.1821</v>
      </c>
      <c r="J120" s="7">
        <v>1.875</v>
      </c>
      <c r="K120" s="8">
        <v>3290076039613.751</v>
      </c>
    </row>
    <row r="121" spans="3:11" x14ac:dyDescent="0.45">
      <c r="C121" s="7">
        <v>1.9</v>
      </c>
      <c r="D121" s="8">
        <v>6556839061587.0654</v>
      </c>
      <c r="G121" s="7">
        <v>1.9</v>
      </c>
      <c r="H121" s="8">
        <v>3476758681604.3115</v>
      </c>
      <c r="J121" s="7">
        <v>1.9</v>
      </c>
      <c r="K121" s="8">
        <v>3524916935337.8799</v>
      </c>
    </row>
    <row r="122" spans="3:11" x14ac:dyDescent="0.45">
      <c r="C122" s="7">
        <v>1.925</v>
      </c>
      <c r="D122" s="8">
        <v>7008744827088.3486</v>
      </c>
      <c r="G122" s="7">
        <v>1.925</v>
      </c>
      <c r="H122" s="8">
        <v>3725767998811.6572</v>
      </c>
      <c r="J122" s="7">
        <v>1.925</v>
      </c>
      <c r="K122" s="8">
        <v>3773926252545.2256</v>
      </c>
    </row>
    <row r="123" spans="3:11" x14ac:dyDescent="0.45">
      <c r="C123" s="7">
        <v>1.95</v>
      </c>
      <c r="D123" s="8">
        <v>7487704627146.877</v>
      </c>
      <c r="G123" s="7">
        <v>1.95</v>
      </c>
      <c r="H123" s="8">
        <v>3989683303752.2261</v>
      </c>
      <c r="J123" s="7">
        <v>1.95</v>
      </c>
      <c r="K123" s="8">
        <v>4037841557485.7949</v>
      </c>
    </row>
    <row r="124" spans="3:11" x14ac:dyDescent="0.45">
      <c r="C124" s="7">
        <v>1.9750000000000001</v>
      </c>
      <c r="D124" s="8">
        <v>7995115990892.9004</v>
      </c>
      <c r="G124" s="7">
        <v>1.9750000000000001</v>
      </c>
      <c r="H124" s="8">
        <v>4269274584927.5361</v>
      </c>
      <c r="J124" s="7">
        <v>1.9750000000000001</v>
      </c>
      <c r="K124" s="8">
        <v>4317432838661.1035</v>
      </c>
    </row>
    <row r="125" spans="3:11" x14ac:dyDescent="0.45">
      <c r="C125" s="7">
        <v>2</v>
      </c>
      <c r="D125" s="8">
        <v>8532437415408.209</v>
      </c>
      <c r="G125" s="7">
        <v>2</v>
      </c>
      <c r="H125" s="8">
        <v>4565345421996.9697</v>
      </c>
      <c r="J125" s="7">
        <v>2</v>
      </c>
      <c r="K125" s="8">
        <v>4613503675730.5391</v>
      </c>
    </row>
  </sheetData>
  <conditionalFormatting sqref="D18:G24">
    <cfRule type="cellIs" dxfId="2" priority="1" operator="greaterThan">
      <formula>0</formula>
    </cfRule>
    <cfRule type="cellIs" dxfId="1" priority="2" operator="lessThan">
      <formula>0</formula>
    </cfRule>
  </conditionalFormatting>
  <conditionalFormatting sqref="J18:M24">
    <cfRule type="cellIs" dxfId="0" priority="3" operator="equal">
      <formula>1</formula>
    </cfRule>
  </conditionalFormatting>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E25"/>
  <sheetViews>
    <sheetView workbookViewId="0"/>
  </sheetViews>
  <sheetFormatPr defaultRowHeight="14.25" x14ac:dyDescent="0.45"/>
  <cols>
    <col min="1" max="1" width="2" customWidth="1"/>
    <col min="2" max="2" width="78" customWidth="1"/>
    <col min="3" max="3" width="16" customWidth="1"/>
    <col min="4" max="4" width="12" customWidth="1"/>
    <col min="5" max="5" width="10" customWidth="1"/>
  </cols>
  <sheetData>
    <row r="1" spans="2:5" ht="18" x14ac:dyDescent="0.55000000000000004">
      <c r="B1" s="1" t="s">
        <v>440</v>
      </c>
    </row>
    <row r="2" spans="2:5" x14ac:dyDescent="0.45">
      <c r="B2" s="2" t="s">
        <v>441</v>
      </c>
    </row>
    <row r="3" spans="2:5" ht="15.75" x14ac:dyDescent="0.5">
      <c r="B3" s="4" t="str">
        <f>IF(COUNTIF(E5:E25,"OK")=21,"All 21 checks OK",COUNTIF(E5:E25,"FAIL")&amp;" of 21 checks failed")</f>
        <v>All 21 checks OK</v>
      </c>
    </row>
    <row r="4" spans="2:5" x14ac:dyDescent="0.45">
      <c r="B4" s="5" t="s">
        <v>442</v>
      </c>
      <c r="C4" s="5" t="s">
        <v>443</v>
      </c>
      <c r="D4" s="5" t="s">
        <v>444</v>
      </c>
      <c r="E4" s="5" t="s">
        <v>445</v>
      </c>
    </row>
    <row r="5" spans="2:5" x14ac:dyDescent="0.45">
      <c r="B5" t="s">
        <v>446</v>
      </c>
      <c r="C5" s="38">
        <f>MAX(ABS(History!D25+History!D26+History!D27-History!D16),ABS(History!D29+History!D30+History!D31-History!D17),ABS(History!D33+History!D34+History!D35-History!D18),ABS(History!D37+History!D38+History!D39-History!D19),ABS(History!D41+History!D42+History!D43-History!D20),ABS(History!D45+History!D46+History!D47-History!D21))</f>
        <v>1000000</v>
      </c>
      <c r="D5">
        <v>2000000</v>
      </c>
      <c r="E5" t="str">
        <f t="shared" ref="E5:E25" si="0">IF(ABS(C5)&lt;=D5,"OK","FAIL")</f>
        <v>OK</v>
      </c>
    </row>
    <row r="6" spans="2:5" x14ac:dyDescent="0.45">
      <c r="B6" t="s">
        <v>447</v>
      </c>
      <c r="C6" s="38">
        <f>MAX(ABS(History!E25+History!E26+History!E27-History!E16),ABS(History!E29+History!E30+History!E31-History!E17),ABS(History!E33+History!E34+History!E35-History!E18),ABS(History!E37+History!E38+History!E39-History!E19),ABS(History!E41+History!E42+History!E43-History!E20),ABS(History!E45+History!E46+History!E47-History!E21))</f>
        <v>1000000</v>
      </c>
      <c r="D6">
        <v>2000000</v>
      </c>
      <c r="E6" t="str">
        <f t="shared" si="0"/>
        <v>OK</v>
      </c>
    </row>
    <row r="7" spans="2:5" x14ac:dyDescent="0.45">
      <c r="B7" t="s">
        <v>448</v>
      </c>
      <c r="C7" s="38">
        <f>ABS(History!D37-History!F37-History!G37-History!E37)+ABS(History!D38-History!F38-History!G38-History!E38)+ABS(History!D39-History!F39-History!G39-History!E39)+ABS(History!D41-History!F41-History!G41-History!E41)+ABS(History!D42-History!F42-History!G42-History!E42)+ABS(History!D43-History!F43-History!G43-History!E43)+ABS(History!D45-History!F45-History!G45-History!E45)+ABS(History!D46-History!F46-History!G46-History!E46)+ABS(History!D47-History!F47-History!G47-History!E47)+ABS(History!D9-History!F9-History!G9-History!E9)+ABS(History!D10-History!F10-History!G10-History!E10)+ABS(History!D11-History!F11-History!G11-History!E11)+ABS(History!D12-History!F12-History!G12-History!E12)+ABS(History!D19-History!F19-History!G19-History!E19)+ABS(History!D20-History!F20-History!G20-History!E20)+ABS(History!D21-History!F21-History!G21-History!E21)</f>
        <v>0</v>
      </c>
      <c r="D7">
        <v>1</v>
      </c>
      <c r="E7" t="str">
        <f t="shared" si="0"/>
        <v>OK</v>
      </c>
    </row>
    <row r="8" spans="2:5" x14ac:dyDescent="0.45">
      <c r="B8" t="s">
        <v>449</v>
      </c>
      <c r="C8" s="38">
        <f>LbActual-(History!E6+History!E7+SUM(History!E25:E47))</f>
        <v>1000000</v>
      </c>
      <c r="D8">
        <v>12000000</v>
      </c>
      <c r="E8" t="str">
        <f t="shared" si="0"/>
        <v>OK</v>
      </c>
    </row>
    <row r="9" spans="2:5" x14ac:dyDescent="0.45">
      <c r="B9" t="s">
        <v>450</v>
      </c>
      <c r="C9" s="38">
        <f>Fw+Rg_0*(1-L_cm)+Fv+Rq_0*(1-L_cm)-Cost_26</f>
        <v>0</v>
      </c>
      <c r="D9">
        <v>1</v>
      </c>
      <c r="E9" t="str">
        <f t="shared" si="0"/>
        <v>OK</v>
      </c>
    </row>
    <row r="10" spans="2:5" x14ac:dyDescent="0.45">
      <c r="B10" t="s">
        <v>451</v>
      </c>
      <c r="C10" s="38">
        <f>IF(ABS(Vs_25)&lt;=0.1,0,Vs_25)</f>
        <v>0</v>
      </c>
      <c r="D10">
        <v>1.0000000000000001E-9</v>
      </c>
      <c r="E10" t="str">
        <f t="shared" si="0"/>
        <v>OK</v>
      </c>
    </row>
    <row r="11" spans="2:5" x14ac:dyDescent="0.45">
      <c r="B11" t="s">
        <v>452</v>
      </c>
      <c r="C11" s="38">
        <f>SUMPRODUCT(ABS(Model!E34:N34-Model!E35:N35-Model!E36:N36))</f>
        <v>0</v>
      </c>
      <c r="D11">
        <v>1</v>
      </c>
      <c r="E11" t="str">
        <f t="shared" si="0"/>
        <v>OK</v>
      </c>
    </row>
    <row r="12" spans="2:5" x14ac:dyDescent="0.45">
      <c r="B12" t="s">
        <v>453</v>
      </c>
      <c r="C12" s="38">
        <f>SUMPRODUCT(ABS(Model!E40:N40-Model!E37:N37+Model!E38:N38+Model!E39:N39))</f>
        <v>4.76837158203125E-7</v>
      </c>
      <c r="D12">
        <v>1</v>
      </c>
      <c r="E12" t="str">
        <f t="shared" si="0"/>
        <v>OK</v>
      </c>
    </row>
    <row r="13" spans="2:5" x14ac:dyDescent="0.45">
      <c r="B13" t="s">
        <v>454</v>
      </c>
      <c r="C13" s="38">
        <f>Model!N45-SUM(Model!E44:N44)</f>
        <v>0</v>
      </c>
      <c r="D13">
        <v>1</v>
      </c>
      <c r="E13" t="str">
        <f t="shared" si="0"/>
        <v>OK</v>
      </c>
    </row>
    <row r="14" spans="2:5" x14ac:dyDescent="0.45">
      <c r="B14" t="s">
        <v>455</v>
      </c>
      <c r="C14" s="38">
        <f>NPVc-(NPV(L_r,Model!E44:N44)+TV/(1+L_r)^10)</f>
        <v>0</v>
      </c>
      <c r="D14">
        <v>1</v>
      </c>
      <c r="E14" t="str">
        <f t="shared" si="0"/>
        <v>OK</v>
      </c>
    </row>
    <row r="15" spans="2:5" x14ac:dyDescent="0.45">
      <c r="B15" t="s">
        <v>456</v>
      </c>
      <c r="C15" s="38">
        <f>IF(ISNUMBER(IRR_),NPV(IRR_,Model!E49:N49)/1000000000,0)</f>
        <v>0</v>
      </c>
      <c r="D15">
        <v>9.9999999999999995E-7</v>
      </c>
      <c r="E15" t="str">
        <f t="shared" si="0"/>
        <v>OK</v>
      </c>
    </row>
    <row r="16" spans="2:5" x14ac:dyDescent="0.45">
      <c r="B16" t="s">
        <v>457</v>
      </c>
      <c r="C16" s="38">
        <f>IF(ISNUMBER(Payback),IF(INDEX(Model!E45:N45,Payback-2026)&gt;=0,0,1)+IF(Payback&gt;2027,IF(INDEX(Model!E45:N45,Payback-2027)&lt;0,0,1),0),0)</f>
        <v>0</v>
      </c>
      <c r="D16">
        <v>0</v>
      </c>
      <c r="E16" t="str">
        <f t="shared" si="0"/>
        <v>OK</v>
      </c>
    </row>
    <row r="17" spans="2:5" x14ac:dyDescent="0.45">
      <c r="B17" t="s">
        <v>458</v>
      </c>
      <c r="C17" s="38">
        <f>IF(Cont=1,SUMPRODUCT(ABS(Model!E40:N40-(Model!E18:N18-Model!E19:N19-Model!E20:N20))),0)</f>
        <v>0</v>
      </c>
      <c r="D17">
        <v>1</v>
      </c>
      <c r="E17" t="str">
        <f t="shared" si="0"/>
        <v>OK</v>
      </c>
    </row>
    <row r="18" spans="2:5" x14ac:dyDescent="0.45">
      <c r="B18" t="s">
        <v>459</v>
      </c>
      <c r="C18" s="38">
        <f>INDEX(Cases!E8:E19,(OptionSel-1)*3+ScenarioSel)-NPVc</f>
        <v>0</v>
      </c>
      <c r="D18">
        <v>1</v>
      </c>
      <c r="E18" t="str">
        <f t="shared" si="0"/>
        <v>OK</v>
      </c>
    </row>
    <row r="19" spans="2:5" x14ac:dyDescent="0.45">
      <c r="B19" t="s">
        <v>460</v>
      </c>
      <c r="C19" s="38">
        <f>SUMPRODUCT(ABS(Cases!E17:E19))</f>
        <v>0</v>
      </c>
      <c r="D19">
        <v>1</v>
      </c>
      <c r="E19" t="str">
        <f t="shared" si="0"/>
        <v>OK</v>
      </c>
    </row>
    <row r="20" spans="2:5" x14ac:dyDescent="0.45">
      <c r="B20" t="s">
        <v>461</v>
      </c>
      <c r="C20" s="38">
        <f>IF(AND(Set_e="",Set_r=""),Sensitivity!F28-BaseNPV1,0)</f>
        <v>0</v>
      </c>
      <c r="D20">
        <v>1</v>
      </c>
      <c r="E20" t="str">
        <f t="shared" si="0"/>
        <v>OK</v>
      </c>
    </row>
    <row r="21" spans="2:5" x14ac:dyDescent="0.45">
      <c r="B21" t="s">
        <v>462</v>
      </c>
      <c r="C21" s="38">
        <f>IF(AND(Top_1="e",Top_2="r"),0,1)</f>
        <v>0</v>
      </c>
      <c r="D21">
        <v>0</v>
      </c>
      <c r="E21" t="str">
        <f t="shared" si="0"/>
        <v>OK</v>
      </c>
    </row>
    <row r="22" spans="2:5" x14ac:dyDescent="0.45">
      <c r="B22" t="s">
        <v>463</v>
      </c>
      <c r="C22" s="38">
        <f>IF(ISNUMBER(GStar),IF(AND(INDEX(Gate!D45:D125,GIdx)&gt;=0,OR(GIdx=1,INDEX(Gate!D45:D125,MAX(1,GIdx-1))&lt;0)),0,1),0)</f>
        <v>0</v>
      </c>
      <c r="D22">
        <v>0</v>
      </c>
      <c r="E22" t="str">
        <f t="shared" si="0"/>
        <v>OK</v>
      </c>
    </row>
    <row r="23" spans="2:5" x14ac:dyDescent="0.45">
      <c r="B23" t="s">
        <v>464</v>
      </c>
      <c r="C23" s="38">
        <f>SUMPRODUCT(--(Gate!J19:M24&lt;Gate!J18:M23))+SUMPRODUCT(--(Gate!K18:M24&lt;Gate!J18:L24))</f>
        <v>0</v>
      </c>
      <c r="D23">
        <v>0</v>
      </c>
      <c r="E23" t="str">
        <f t="shared" si="0"/>
        <v>OK</v>
      </c>
    </row>
    <row r="24" spans="2:5" x14ac:dyDescent="0.45">
      <c r="B24" t="s">
        <v>465</v>
      </c>
      <c r="C24" s="38">
        <f>SUMPRODUCT(--(Gate!H46:H125&lt;Gate!H45:H124))+SUMPRODUCT(--(Gate!K46:K125&lt;Gate!K45:K124))</f>
        <v>0</v>
      </c>
      <c r="D24">
        <v>0</v>
      </c>
      <c r="E24" t="str">
        <f t="shared" si="0"/>
        <v>OK</v>
      </c>
    </row>
    <row r="25" spans="2:5" x14ac:dyDescent="0.45">
      <c r="B25" t="s">
        <v>466</v>
      </c>
      <c r="C25" s="38">
        <f>IF(AND(CaseSel=0,TornPick=0,TornSide=1,SensA_x="",SensA_y="",GateCurve_g="",GateMap_g="",GateMap_cm="",BeG1_g="",BeG2_g=""),0,1)</f>
        <v>0</v>
      </c>
      <c r="D25">
        <v>0</v>
      </c>
      <c r="E25" t="str">
        <f t="shared" si="0"/>
        <v>OK</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122</vt:i4>
      </vt:variant>
    </vt:vector>
  </HeadingPairs>
  <TitlesOfParts>
    <vt:vector size="131" baseType="lpstr">
      <vt:lpstr>Cover</vt:lpstr>
      <vt:lpstr>Inputs</vt:lpstr>
      <vt:lpstr>History</vt:lpstr>
      <vt:lpstr>Lookback</vt:lpstr>
      <vt:lpstr>Model</vt:lpstr>
      <vt:lpstr>Cases</vt:lpstr>
      <vt:lpstr>Sensitivity</vt:lpstr>
      <vt:lpstr>Gate</vt:lpstr>
      <vt:lpstr>Checks</vt:lpstr>
      <vt:lpstr>AppleX</vt:lpstr>
      <vt:lpstr>BaseNPV1</vt:lpstr>
      <vt:lpstr>BeG_1</vt:lpstr>
      <vt:lpstr>BeG_2</vt:lpstr>
      <vt:lpstr>BeG1_g</vt:lpstr>
      <vt:lpstr>BeG2_g</vt:lpstr>
      <vt:lpstr>Benefit2</vt:lpstr>
      <vt:lpstr>BreakevenP</vt:lpstr>
      <vt:lpstr>BullRev27</vt:lpstr>
      <vt:lpstr>CaseSel</vt:lpstr>
      <vt:lpstr>CheckStatus</vt:lpstr>
      <vt:lpstr>cmG</vt:lpstr>
      <vt:lpstr>Cont</vt:lpstr>
      <vt:lpstr>ContV</vt:lpstr>
      <vt:lpstr>Cost_26</vt:lpstr>
      <vt:lpstr>Cv</vt:lpstr>
      <vt:lpstr>Cw</vt:lpstr>
      <vt:lpstr>F_appleWHA</vt:lpstr>
      <vt:lpstr>F_debtMax</vt:lpstr>
      <vt:lpstr>F_debtMin</vt:lpstr>
      <vt:lpstr>F_foaFY25</vt:lpstr>
      <vt:lpstr>F_oi9m25</vt:lpstr>
      <vt:lpstr>F_oi9m26</vt:lpstr>
      <vt:lpstr>F_oiFY25</vt:lpstr>
      <vt:lpstr>F_rev9m25</vt:lpstr>
      <vt:lpstr>F_rev9m26</vt:lpstr>
      <vt:lpstr>F_revFY25</vt:lpstr>
      <vt:lpstr>F_tax</vt:lpstr>
      <vt:lpstr>F_w</vt:lpstr>
      <vt:lpstr>Fl_capped</vt:lpstr>
      <vt:lpstr>Fl_gated</vt:lpstr>
      <vt:lpstr>Fl_gl</vt:lpstr>
      <vt:lpstr>Fl_vr</vt:lpstr>
      <vt:lpstr>Fv</vt:lpstr>
      <vt:lpstr>Fw</vt:lpstr>
      <vt:lpstr>FwBase</vt:lpstr>
      <vt:lpstr>GateCurve_g</vt:lpstr>
      <vt:lpstr>GatedSpend27</vt:lpstr>
      <vt:lpstr>GateEarly</vt:lpstr>
      <vt:lpstr>GateMap_cm</vt:lpstr>
      <vt:lpstr>GateMap_g</vt:lpstr>
      <vt:lpstr>GateR</vt:lpstr>
      <vt:lpstr>GIdx</vt:lpstr>
      <vt:lpstr>GStar</vt:lpstr>
      <vt:lpstr>IRR_</vt:lpstr>
      <vt:lpstr>J_cap</vt:lpstr>
      <vt:lpstr>J_cmGate</vt:lpstr>
      <vt:lpstr>J_e</vt:lpstr>
      <vt:lpstr>J_gate</vt:lpstr>
      <vt:lpstr>J_k</vt:lpstr>
      <vt:lpstr>J_r</vt:lpstr>
      <vt:lpstr>J_s</vt:lpstr>
      <vt:lpstr>J_trip</vt:lpstr>
      <vt:lpstr>L_cap</vt:lpstr>
      <vt:lpstr>L_cm</vt:lpstr>
      <vt:lpstr>L_e</vt:lpstr>
      <vt:lpstr>L_g1</vt:lpstr>
      <vt:lpstr>L_gate</vt:lpstr>
      <vt:lpstr>L_gT</vt:lpstr>
      <vt:lpstr>L_k</vt:lpstr>
      <vt:lpstr>L_q</vt:lpstr>
      <vt:lpstr>L_r</vt:lpstr>
      <vt:lpstr>L_s</vt:lpstr>
      <vt:lpstr>L_tax</vt:lpstr>
      <vt:lpstr>L_w</vt:lpstr>
      <vt:lpstr>Lb9mOiChg</vt:lpstr>
      <vt:lpstr>Lb9mRevChg</vt:lpstr>
      <vt:lpstr>LbActual</vt:lpstr>
      <vt:lpstr>LbActualRev</vt:lpstr>
      <vt:lpstr>LbAT</vt:lpstr>
      <vt:lpstr>LbCarried</vt:lpstr>
      <vt:lpstr>LbCharge</vt:lpstr>
      <vt:lpstr>LbLaborChg</vt:lpstr>
      <vt:lpstr>LbLoss2225</vt:lpstr>
      <vt:lpstr>LbPre</vt:lpstr>
      <vt:lpstr>LbRev</vt:lpstr>
      <vt:lpstr>LbRevChg</vt:lpstr>
      <vt:lpstr>LbShareFoA</vt:lpstr>
      <vt:lpstr>LbTTM</vt:lpstr>
      <vt:lpstr>LbTTMRev</vt:lpstr>
      <vt:lpstr>Loss_27</vt:lpstr>
      <vt:lpstr>NfailC</vt:lpstr>
      <vt:lpstr>NPVc</vt:lpstr>
      <vt:lpstr>Oi_26</vt:lpstr>
      <vt:lpstr>OptEff</vt:lpstr>
      <vt:lpstr>OptionSel</vt:lpstr>
      <vt:lpstr>Payback</vt:lpstr>
      <vt:lpstr>PVTV</vt:lpstr>
      <vt:lpstr>Q4oi_25</vt:lpstr>
      <vt:lpstr>Q4rev_25</vt:lpstr>
      <vt:lpstr>Rev_2036</vt:lpstr>
      <vt:lpstr>Rev_26</vt:lpstr>
      <vt:lpstr>Rg_0</vt:lpstr>
      <vt:lpstr>RG_26</vt:lpstr>
      <vt:lpstr>Rq_0</vt:lpstr>
      <vt:lpstr>ScenarioSel</vt:lpstr>
      <vt:lpstr>ScnEff</vt:lpstr>
      <vt:lpstr>SensA_x</vt:lpstr>
      <vt:lpstr>SensA_y</vt:lpstr>
      <vt:lpstr>Set_cap</vt:lpstr>
      <vt:lpstr>Set_cm</vt:lpstr>
      <vt:lpstr>Set_e</vt:lpstr>
      <vt:lpstr>Set_g1</vt:lpstr>
      <vt:lpstr>Set_gT</vt:lpstr>
      <vt:lpstr>Set_k</vt:lpstr>
      <vt:lpstr>Set_q</vt:lpstr>
      <vt:lpstr>Set_r</vt:lpstr>
      <vt:lpstr>Set_s</vt:lpstr>
      <vt:lpstr>Set_w</vt:lpstr>
      <vt:lpstr>Spend</vt:lpstr>
      <vt:lpstr>StopV</vt:lpstr>
      <vt:lpstr>StopWD</vt:lpstr>
      <vt:lpstr>Top_1</vt:lpstr>
      <vt:lpstr>Top_2</vt:lpstr>
      <vt:lpstr>TornPick</vt:lpstr>
      <vt:lpstr>TornSide</vt:lpstr>
      <vt:lpstr>TripQ</vt:lpstr>
      <vt:lpstr>TV</vt:lpstr>
      <vt:lpstr>TVShare9</vt:lpstr>
      <vt:lpstr>Vs_25</vt:lpstr>
      <vt:lpstr>WD_1</vt:lpstr>
      <vt:lpstr>WorstC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2026-10-24T04:13:09Z</dcterms:created>
  <dcterms:modified xsi:type="dcterms:W3CDTF">2026-10-24T04:15:44Z</dcterms:modified>
</cp:coreProperties>
</file>