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xr:revisionPtr revIDLastSave="0" documentId="13_ncr:1_{BEF83734-5C9E-4AE3-8EED-2F5F1FEF4EE1}" xr6:coauthVersionLast="47" xr6:coauthVersionMax="47" xr10:uidLastSave="{00000000-0000-0000-0000-000000000000}"/>
  <bookViews>
    <workbookView xWindow="1837" yWindow="1837" windowWidth="21600" windowHeight="11333" xr2:uid="{00000000-000D-0000-FFFF-FFFF00000000}"/>
  </bookViews>
  <sheets>
    <sheet name="Cover" sheetId="1" r:id="rId1"/>
    <sheet name="Inputs" sheetId="2" r:id="rId2"/>
    <sheet name="PriceBook" sheetId="3" r:id="rId3"/>
    <sheet name="Model" sheetId="4" r:id="rId4"/>
    <sheet name="Cases" sheetId="5" r:id="rId5"/>
    <sheet name="Sensitivity" sheetId="6" r:id="rId6"/>
    <sheet name="Lookback" sheetId="7" r:id="rId7"/>
    <sheet name="Checks" sheetId="8" r:id="rId8"/>
  </sheets>
  <definedNames>
    <definedName name="BaseA_Cum">Cases!$F$9</definedName>
    <definedName name="BaseA_Lost">Cases!$I$9</definedName>
    <definedName name="BaseA_Nrr">Cases!$J$9</definedName>
    <definedName name="BaseA_Risk">Cases!$H$9</definedName>
    <definedName name="BaseA_Up">Cases!$G$9</definedName>
    <definedName name="BaseA_Y1">Cases!$C$9</definedName>
    <definedName name="BaseA_Y2">Cases!$D$9</definedName>
    <definedName name="BaseA_Y3">Cases!$E$9</definedName>
    <definedName name="BaseB_Cum">Cases!$N$9</definedName>
    <definedName name="BaseB_Lost">Cases!$Q$9</definedName>
    <definedName name="BaseB_Nrr">Cases!$R$9</definedName>
    <definedName name="BaseB_Risk">Cases!$P$9</definedName>
    <definedName name="BaseB_Up">Cases!$O$9</definedName>
    <definedName name="BaseB_Y1">Cases!$K$9</definedName>
    <definedName name="BaseB_Y2">Cases!$L$9</definedName>
    <definedName name="BaseB_Y3">Cases!$M$9</definedName>
    <definedName name="BaseC_Cum">Cases!$V$9</definedName>
    <definedName name="BaseC_Lost">Cases!$Y$9</definedName>
    <definedName name="BaseC_Nrr">Cases!$Z$9</definedName>
    <definedName name="BaseC_Risk">Cases!$X$9</definedName>
    <definedName name="BaseC_Up">Cases!$W$9</definedName>
    <definedName name="BaseC_Y1">Cases!$S$9</definedName>
    <definedName name="BaseC_Y2">Cases!$T$9</definedName>
    <definedName name="BaseC_Y3">Cases!$U$9</definedName>
    <definedName name="BaseCminusA">Cases!$D$16</definedName>
    <definedName name="BaseCminusB">Cases!$C$16</definedName>
    <definedName name="BaseRunRate">Model!$H$4</definedName>
    <definedName name="BearA_Cum">Cases!$F$8</definedName>
    <definedName name="BearA_Lost">Cases!$I$8</definedName>
    <definedName name="BearA_Nrr">Cases!$J$8</definedName>
    <definedName name="BearA_Risk">Cases!$H$8</definedName>
    <definedName name="BearA_Up">Cases!$G$8</definedName>
    <definedName name="BearA_Y1">Cases!$C$8</definedName>
    <definedName name="BearA_Y2">Cases!$D$8</definedName>
    <definedName name="BearA_Y3">Cases!$E$8</definedName>
    <definedName name="BearB_Cum">Cases!$N$8</definedName>
    <definedName name="BearB_Lost">Cases!$Q$8</definedName>
    <definedName name="BearB_Nrr">Cases!$R$8</definedName>
    <definedName name="BearB_Risk">Cases!$P$8</definedName>
    <definedName name="BearB_Up">Cases!$O$8</definedName>
    <definedName name="BearB_Y1">Cases!$K$8</definedName>
    <definedName name="BearB_Y2">Cases!$L$8</definedName>
    <definedName name="BearB_Y3">Cases!$M$8</definedName>
    <definedName name="BearC_Cum">Cases!$V$8</definedName>
    <definedName name="BearC_Lost">Cases!$Y$8</definedName>
    <definedName name="BearC_Nrr">Cases!$Z$8</definedName>
    <definedName name="BearC_Risk">Cases!$X$8</definedName>
    <definedName name="BearC_Up">Cases!$W$8</definedName>
    <definedName name="BearC_Y1">Cases!$S$8</definedName>
    <definedName name="BearC_Y2">Cases!$T$8</definedName>
    <definedName name="BearC_Y3">Cases!$U$8</definedName>
    <definedName name="BearCminusA">Cases!$D$15</definedName>
    <definedName name="BearCminusB">Cases!$C$15</definedName>
    <definedName name="BestCap">Sensitivity!$C$95</definedName>
    <definedName name="BestCapCum">Sensitivity!$C$96</definedName>
    <definedName name="BullA_Cum">Cases!$F$10</definedName>
    <definedName name="BullA_Lost">Cases!$I$10</definedName>
    <definedName name="BullA_Nrr">Cases!$J$10</definedName>
    <definedName name="BullA_Risk">Cases!$H$10</definedName>
    <definedName name="BullA_Up">Cases!$G$10</definedName>
    <definedName name="BullA_Y1">Cases!$C$10</definedName>
    <definedName name="BullA_Y2">Cases!$D$10</definedName>
    <definedName name="BullA_Y3">Cases!$E$10</definedName>
    <definedName name="BullB_Cum">Cases!$N$10</definedName>
    <definedName name="BullB_Lost">Cases!$Q$10</definedName>
    <definedName name="BullB_Nrr">Cases!$R$10</definedName>
    <definedName name="BullB_Risk">Cases!$P$10</definedName>
    <definedName name="BullB_Up">Cases!$O$10</definedName>
    <definedName name="BullB_Y1">Cases!$K$10</definedName>
    <definedName name="BullB_Y2">Cases!$L$10</definedName>
    <definedName name="BullB_Y3">Cases!$M$10</definedName>
    <definedName name="BullC_Cum">Cases!$V$10</definedName>
    <definedName name="BullC_Lost">Cases!$Y$10</definedName>
    <definedName name="BullC_Nrr">Cases!$Z$10</definedName>
    <definedName name="BullC_Risk">Cases!$X$10</definedName>
    <definedName name="BullC_Up">Cases!$W$10</definedName>
    <definedName name="BullC_Y1">Cases!$S$10</definedName>
    <definedName name="BullC_Y2">Cases!$T$10</definedName>
    <definedName name="BullC_Y3">Cases!$U$10</definedName>
    <definedName name="BullCminusA">Cases!$D$17</definedName>
    <definedName name="BullCminusB">Cases!$C$17</definedName>
    <definedName name="CapAt0">Sensitivity!$C$82</definedName>
    <definedName name="CapAt5">Sensitivity!$C$84</definedName>
    <definedName name="CapCurve">Sensitivity!$L$5</definedName>
    <definedName name="CaseSel">Cases!$C$4</definedName>
    <definedName name="CheckStatus">Checks!$C$26</definedName>
    <definedName name="D_belowScale">Inputs!$I$43</definedName>
    <definedName name="D_capC">Inputs!$I$40</definedName>
    <definedName name="D_k">Inputs!$I$36</definedName>
    <definedName name="D_otherRev">Inputs!$I$42</definedName>
    <definedName name="D_r">Inputs!$I$38</definedName>
    <definedName name="D_rho">Inputs!$I$41</definedName>
    <definedName name="D_tau">Inputs!$I$39</definedName>
    <definedName name="D_upScale">Inputs!$I$44</definedName>
    <definedName name="D_v">Inputs!$I$37</definedName>
    <definedName name="EvA_Cum">Cases!$F$12</definedName>
    <definedName name="EvA_Lost">Cases!$I$12</definedName>
    <definedName name="EvA_Nrr">Cases!$J$12</definedName>
    <definedName name="EvA_Risk">Cases!$H$12</definedName>
    <definedName name="EvA_Up">Cases!$G$12</definedName>
    <definedName name="EvA_Y1">Cases!$C$12</definedName>
    <definedName name="EvA_Y2">Cases!$D$12</definedName>
    <definedName name="EvA_Y3">Cases!$E$12</definedName>
    <definedName name="EvB_Cum">Cases!$N$12</definedName>
    <definedName name="EvB_Lost">Cases!$Q$12</definedName>
    <definedName name="EvB_Nrr">Cases!$R$12</definedName>
    <definedName name="EvB_Risk">Cases!$P$12</definedName>
    <definedName name="EvB_Up">Cases!$O$12</definedName>
    <definedName name="EvB_Y1">Cases!$K$12</definedName>
    <definedName name="EvB_Y2">Cases!$L$12</definedName>
    <definedName name="EvB_Y3">Cases!$M$12</definedName>
    <definedName name="EvC_Cum">Cases!$V$12</definedName>
    <definedName name="EvC_Lost">Cases!$Y$12</definedName>
    <definedName name="EvC_Nrr">Cases!$Z$12</definedName>
    <definedName name="EvC_Risk">Cases!$X$12</definedName>
    <definedName name="EvC_Up">Cases!$W$12</definedName>
    <definedName name="EvC_Y1">Cases!$S$12</definedName>
    <definedName name="EvC_Y2">Cases!$T$12</definedName>
    <definedName name="EvC_Y3">Cases!$U$12</definedName>
    <definedName name="F_asrpc">Inputs!$C$12</definedName>
    <definedName name="F_cust">Inputs!$C$11</definedName>
    <definedName name="F_nrr">Inputs!$C$13</definedName>
    <definedName name="F_subrev">Inputs!$C$14</definedName>
    <definedName name="GrossRisk">Model!$C$41</definedName>
    <definedName name="GrossUp">Model!$C$40</definedName>
    <definedName name="KCurve">Sensitivity!$J$5</definedName>
    <definedName name="KStar">Sensitivity!$E$77</definedName>
    <definedName name="NOther">Model!$H$6</definedName>
    <definedName name="NSeg">Model!$H$5</definedName>
    <definedName name="oA_Cum">Model!$C$34</definedName>
    <definedName name="oA_Lost">Model!$C$37</definedName>
    <definedName name="oA_Nrr">Model!$C$38</definedName>
    <definedName name="oA_Risk">Model!$C$36</definedName>
    <definedName name="oA_Up">Model!$C$35</definedName>
    <definedName name="oA_Y1">Model!$C$31</definedName>
    <definedName name="oA_Y2">Model!$C$32</definedName>
    <definedName name="oA_Y3">Model!$C$33</definedName>
    <definedName name="oB_Cum">Model!$D$34</definedName>
    <definedName name="oB_Lost">Model!$D$37</definedName>
    <definedName name="oB_Nrr">Model!$D$38</definedName>
    <definedName name="oB_Risk">Model!$D$36</definedName>
    <definedName name="oB_Up">Model!$D$35</definedName>
    <definedName name="oB_Y1">Model!$D$31</definedName>
    <definedName name="oB_Y2">Model!$D$32</definedName>
    <definedName name="oB_Y3">Model!$D$33</definedName>
    <definedName name="oC_Cum">Model!$E$34</definedName>
    <definedName name="oC_Lost">Model!$E$37</definedName>
    <definedName name="oC_Nrr">Model!$E$38</definedName>
    <definedName name="oC_Risk">Model!$E$36</definedName>
    <definedName name="oC_Up">Model!$E$35</definedName>
    <definedName name="oC_Y1">Model!$E$31</definedName>
    <definedName name="oC_Y2">Model!$E$32</definedName>
    <definedName name="oC_Y3">Model!$E$33</definedName>
    <definedName name="P_capB">Inputs!$C$32</definedName>
    <definedName name="P_me_add">Inputs!$C$31</definedName>
    <definedName name="P_me_base">Inputs!$C$29</definedName>
    <definedName name="P_me_inc">Inputs!$C$30</definedName>
    <definedName name="P_mp_add">Inputs!$C$28</definedName>
    <definedName name="P_mp_base">Inputs!$C$26</definedName>
    <definedName name="P_mp_inc">Inputs!$C$27</definedName>
    <definedName name="P_se_add">Inputs!$C$23</definedName>
    <definedName name="P_se_base">Inputs!$C$21</definedName>
    <definedName name="P_se_inc">Inputs!$C$22</definedName>
    <definedName name="P_se_seat">Inputs!$C$25</definedName>
    <definedName name="P_sp_add">Inputs!$C$20</definedName>
    <definedName name="P_sp_base">Inputs!$C$18</definedName>
    <definedName name="P_sp_inc">Inputs!$C$19</definedName>
    <definedName name="P_sp_seat">Inputs!$C$24</definedName>
    <definedName name="Plug">Model!$H$8</definedName>
    <definedName name="S2Across">Sensitivity!$H$5</definedName>
    <definedName name="S2Down">Sensitivity!$F$5</definedName>
    <definedName name="ScenarioSel">Inputs!$C$5</definedName>
    <definedName name="ScenEff">Inputs!$C$6</definedName>
    <definedName name="SeatRev">Model!$H$7</definedName>
    <definedName name="SegShare">Model!$H$10</definedName>
    <definedName name="SensOn">Inputs!$C$7</definedName>
    <definedName name="SetsOn">Inputs!$C$8</definedName>
    <definedName name="Top1Calc">Sensitivity!$G$18</definedName>
    <definedName name="Top1Key">Sensitivity!$F$18</definedName>
    <definedName name="Top2Calc">Sensitivity!$G$19</definedName>
    <definedName name="Top2Key">Sensitivity!$F$19</definedName>
    <definedName name="TornPick">Sensitivity!$B$5</definedName>
    <definedName name="TornSide">Sensitivity!$D$5</definedName>
    <definedName name="Trigger">Sensitivity!$E$78</definedName>
    <definedName name="TwoCentre">Sensitivity!$E$25</definedName>
    <definedName name="TwoCentreCB">Sensitivity!$E$35</definedName>
    <definedName name="TwoMinCB">Sensitivity!$I$32</definedName>
    <definedName name="Uplift">Model!$H$9</definedName>
    <definedName name="W_BASE">Inputs!$C$48</definedName>
    <definedName name="W_BEAR">Inputs!$C$47</definedName>
    <definedName name="W_BULL">Inputs!$C$49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4" i="8" l="1"/>
  <c r="E24" i="8" s="1"/>
  <c r="C23" i="8"/>
  <c r="D22" i="8"/>
  <c r="C20" i="8"/>
  <c r="D19" i="8"/>
  <c r="C19" i="8"/>
  <c r="C18" i="8"/>
  <c r="E18" i="8" s="1"/>
  <c r="C17" i="8"/>
  <c r="D10" i="8"/>
  <c r="C10" i="8"/>
  <c r="D9" i="8"/>
  <c r="C9" i="8"/>
  <c r="D8" i="8"/>
  <c r="C8" i="8"/>
  <c r="D5" i="8"/>
  <c r="E18" i="7"/>
  <c r="E17" i="7"/>
  <c r="E16" i="7"/>
  <c r="E15" i="7"/>
  <c r="E14" i="7"/>
  <c r="E13" i="7"/>
  <c r="E12" i="7"/>
  <c r="E11" i="7"/>
  <c r="C96" i="6"/>
  <c r="C95" i="6"/>
  <c r="C22" i="8" s="1"/>
  <c r="E22" i="8" s="1"/>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I32" i="6"/>
  <c r="H17" i="6"/>
  <c r="G17" i="6"/>
  <c r="F17" i="6"/>
  <c r="H16" i="6"/>
  <c r="G16" i="6"/>
  <c r="F16" i="6"/>
  <c r="H15" i="6"/>
  <c r="G15" i="6"/>
  <c r="F15" i="6"/>
  <c r="H14" i="6"/>
  <c r="G14" i="6"/>
  <c r="F14" i="6"/>
  <c r="H13" i="6"/>
  <c r="G13" i="6"/>
  <c r="F13" i="6"/>
  <c r="H12" i="6"/>
  <c r="G12" i="6"/>
  <c r="F12" i="6"/>
  <c r="H11" i="6"/>
  <c r="G11" i="6"/>
  <c r="F11" i="6"/>
  <c r="H10" i="6"/>
  <c r="G10" i="6"/>
  <c r="F10" i="6"/>
  <c r="D17" i="5"/>
  <c r="C17" i="5"/>
  <c r="D16" i="5"/>
  <c r="C16" i="5"/>
  <c r="D23" i="8" s="1"/>
  <c r="D15" i="5"/>
  <c r="C15" i="5"/>
  <c r="Z12" i="5"/>
  <c r="Y12" i="5"/>
  <c r="X12" i="5"/>
  <c r="W12" i="5"/>
  <c r="V12" i="5"/>
  <c r="E6" i="1" s="1"/>
  <c r="U12" i="5"/>
  <c r="E10" i="1" s="1"/>
  <c r="T12" i="5"/>
  <c r="S12" i="5"/>
  <c r="R12" i="5"/>
  <c r="Q12" i="5"/>
  <c r="P12" i="5"/>
  <c r="O12" i="5"/>
  <c r="N12" i="5"/>
  <c r="D6" i="1" s="1"/>
  <c r="M12" i="5"/>
  <c r="D10" i="1" s="1"/>
  <c r="L12" i="5"/>
  <c r="K12" i="5"/>
  <c r="J12" i="5"/>
  <c r="I12" i="5"/>
  <c r="H12" i="5"/>
  <c r="G12" i="5"/>
  <c r="F12" i="5"/>
  <c r="C6" i="1" s="1"/>
  <c r="E12" i="5"/>
  <c r="C10" i="1" s="1"/>
  <c r="D12" i="5"/>
  <c r="C12" i="5"/>
  <c r="E26" i="4"/>
  <c r="D26" i="4"/>
  <c r="C26" i="4"/>
  <c r="H26" i="4" s="1"/>
  <c r="B26" i="4"/>
  <c r="E25" i="4"/>
  <c r="D25" i="4"/>
  <c r="C25" i="4"/>
  <c r="B25" i="4"/>
  <c r="E24" i="4"/>
  <c r="D24" i="4"/>
  <c r="C24" i="4"/>
  <c r="B24" i="4"/>
  <c r="G23" i="4"/>
  <c r="E23" i="4"/>
  <c r="D23" i="4"/>
  <c r="C23" i="4"/>
  <c r="H23" i="4" s="1"/>
  <c r="B23" i="4"/>
  <c r="H22" i="4"/>
  <c r="E22" i="4"/>
  <c r="D22" i="4"/>
  <c r="C22" i="4"/>
  <c r="B22" i="4"/>
  <c r="E21" i="4"/>
  <c r="D21" i="4"/>
  <c r="C21" i="4"/>
  <c r="B21" i="4"/>
  <c r="G20" i="4"/>
  <c r="E20" i="4"/>
  <c r="D20" i="4"/>
  <c r="C20" i="4"/>
  <c r="B20" i="4"/>
  <c r="G19" i="4"/>
  <c r="E19" i="4"/>
  <c r="D19" i="4"/>
  <c r="C19" i="4"/>
  <c r="H19" i="4" s="1"/>
  <c r="B19" i="4"/>
  <c r="E18" i="4"/>
  <c r="D18" i="4"/>
  <c r="C18" i="4"/>
  <c r="I18" i="4" s="1"/>
  <c r="B18" i="4"/>
  <c r="E17" i="4"/>
  <c r="D17" i="4"/>
  <c r="C17" i="4"/>
  <c r="B17" i="4"/>
  <c r="E16" i="4"/>
  <c r="D16" i="4"/>
  <c r="C16" i="4"/>
  <c r="B16" i="4"/>
  <c r="H4" i="4"/>
  <c r="D7" i="8" s="1"/>
  <c r="J16" i="3"/>
  <c r="I16" i="3"/>
  <c r="H16" i="3"/>
  <c r="G16" i="3"/>
  <c r="F16" i="3"/>
  <c r="E16" i="3"/>
  <c r="D16" i="3"/>
  <c r="C16" i="3"/>
  <c r="J15" i="3"/>
  <c r="I15" i="3"/>
  <c r="H15" i="3"/>
  <c r="G15" i="3"/>
  <c r="F15" i="3"/>
  <c r="E15" i="3"/>
  <c r="D15" i="3"/>
  <c r="C15" i="3"/>
  <c r="J14" i="3"/>
  <c r="I14" i="3"/>
  <c r="H14" i="3"/>
  <c r="G14" i="3"/>
  <c r="F14" i="3"/>
  <c r="E14" i="3"/>
  <c r="D14" i="3"/>
  <c r="C14" i="3"/>
  <c r="J13" i="3"/>
  <c r="I13" i="3"/>
  <c r="H13" i="3"/>
  <c r="G13" i="3"/>
  <c r="F13" i="3"/>
  <c r="E13" i="3"/>
  <c r="D13" i="3"/>
  <c r="C13" i="3"/>
  <c r="J12" i="3"/>
  <c r="I12" i="3"/>
  <c r="H12" i="3"/>
  <c r="G12" i="3"/>
  <c r="F12" i="3"/>
  <c r="E12" i="3"/>
  <c r="D12" i="3"/>
  <c r="C12" i="3"/>
  <c r="J11" i="3"/>
  <c r="I11" i="3"/>
  <c r="H11" i="3"/>
  <c r="G11" i="3"/>
  <c r="F11" i="3"/>
  <c r="E11" i="3"/>
  <c r="D11" i="3"/>
  <c r="C11" i="3"/>
  <c r="J10" i="3"/>
  <c r="I10" i="3"/>
  <c r="H10" i="3"/>
  <c r="G10" i="3"/>
  <c r="F10" i="3"/>
  <c r="E10" i="3"/>
  <c r="D10" i="3"/>
  <c r="C10" i="3"/>
  <c r="J9" i="3"/>
  <c r="I9" i="3"/>
  <c r="H9" i="3"/>
  <c r="G9" i="3"/>
  <c r="F9" i="3"/>
  <c r="E9" i="3"/>
  <c r="D9" i="3"/>
  <c r="C9" i="3"/>
  <c r="J8" i="3"/>
  <c r="I8" i="3"/>
  <c r="H8" i="3"/>
  <c r="G8" i="3"/>
  <c r="F8" i="3"/>
  <c r="E8" i="3"/>
  <c r="D8" i="3"/>
  <c r="C8" i="3"/>
  <c r="J7" i="3"/>
  <c r="I7" i="3"/>
  <c r="H7" i="3"/>
  <c r="G7" i="3"/>
  <c r="F7" i="3"/>
  <c r="E7" i="3"/>
  <c r="D7" i="3"/>
  <c r="C7" i="3"/>
  <c r="J6" i="3"/>
  <c r="I6" i="3"/>
  <c r="H6" i="3"/>
  <c r="G6" i="3"/>
  <c r="F6" i="3"/>
  <c r="E6" i="3"/>
  <c r="D6" i="3"/>
  <c r="C6" i="3"/>
  <c r="J5" i="3"/>
  <c r="I5" i="3"/>
  <c r="H5" i="3"/>
  <c r="G5" i="3"/>
  <c r="F5" i="3"/>
  <c r="E5" i="3"/>
  <c r="D5" i="3"/>
  <c r="C5" i="3"/>
  <c r="G63" i="2"/>
  <c r="G62" i="2"/>
  <c r="G61" i="2"/>
  <c r="H61" i="2" s="1"/>
  <c r="I61" i="2" s="1"/>
  <c r="F24" i="4" s="1"/>
  <c r="G60" i="2"/>
  <c r="G59" i="2"/>
  <c r="G58" i="2"/>
  <c r="H58" i="2" s="1"/>
  <c r="I58" i="2" s="1"/>
  <c r="F21" i="4" s="1"/>
  <c r="G57" i="2"/>
  <c r="H57" i="2" s="1"/>
  <c r="I57" i="2" s="1"/>
  <c r="F20" i="4" s="1"/>
  <c r="G56" i="2"/>
  <c r="G55" i="2"/>
  <c r="G18" i="4" s="1"/>
  <c r="G54" i="2"/>
  <c r="G17" i="4" s="1"/>
  <c r="G53" i="2"/>
  <c r="G16" i="4" s="1"/>
  <c r="C8" i="2"/>
  <c r="C7" i="2"/>
  <c r="C6" i="2" s="1"/>
  <c r="I44" i="2" s="1"/>
  <c r="E11" i="1"/>
  <c r="D11" i="1"/>
  <c r="C11" i="1"/>
  <c r="E9" i="1"/>
  <c r="D9" i="1"/>
  <c r="C9" i="1"/>
  <c r="E8" i="1"/>
  <c r="D8" i="1"/>
  <c r="C8" i="1"/>
  <c r="E7" i="1"/>
  <c r="D7" i="1"/>
  <c r="C7" i="1"/>
  <c r="E9" i="8" l="1"/>
  <c r="E10" i="8"/>
  <c r="H18" i="4"/>
  <c r="H55" i="2"/>
  <c r="I55" i="2" s="1"/>
  <c r="F18" i="4" s="1"/>
  <c r="G21" i="4"/>
  <c r="E8" i="8"/>
  <c r="I20" i="4"/>
  <c r="I16" i="4"/>
  <c r="E77" i="6"/>
  <c r="E78" i="6" s="1"/>
  <c r="C13" i="1" s="1"/>
  <c r="I43" i="2"/>
  <c r="H56" i="2" s="1"/>
  <c r="I56" i="2" s="1"/>
  <c r="F19" i="4" s="1"/>
  <c r="I38" i="2"/>
  <c r="I42" i="2"/>
  <c r="I37" i="2"/>
  <c r="I25" i="4" s="1"/>
  <c r="H60" i="2"/>
  <c r="I60" i="2" s="1"/>
  <c r="F23" i="4" s="1"/>
  <c r="H62" i="2"/>
  <c r="I62" i="2" s="1"/>
  <c r="F25" i="4" s="1"/>
  <c r="H63" i="2"/>
  <c r="I63" i="2" s="1"/>
  <c r="F26" i="4" s="1"/>
  <c r="E23" i="8"/>
  <c r="I16" i="6"/>
  <c r="I17" i="6"/>
  <c r="I10" i="6"/>
  <c r="G22" i="4"/>
  <c r="H59" i="2"/>
  <c r="I59" i="2" s="1"/>
  <c r="F22" i="4" s="1"/>
  <c r="I14" i="6"/>
  <c r="I12" i="6"/>
  <c r="I11" i="6"/>
  <c r="I13" i="6"/>
  <c r="I19" i="4"/>
  <c r="I17" i="4"/>
  <c r="H17" i="4"/>
  <c r="I15" i="6"/>
  <c r="G24" i="4"/>
  <c r="H16" i="4"/>
  <c r="H20" i="4"/>
  <c r="H24" i="4"/>
  <c r="E19" i="8"/>
  <c r="D20" i="8"/>
  <c r="E20" i="8" s="1"/>
  <c r="G25" i="4"/>
  <c r="H21" i="4"/>
  <c r="H25" i="4"/>
  <c r="I36" i="2"/>
  <c r="I39" i="2"/>
  <c r="I40" i="2"/>
  <c r="I41" i="2"/>
  <c r="G26" i="4"/>
  <c r="I23" i="4" l="1"/>
  <c r="K23" i="4" s="1"/>
  <c r="H54" i="2"/>
  <c r="I54" i="2" s="1"/>
  <c r="F17" i="4" s="1"/>
  <c r="H53" i="2"/>
  <c r="I53" i="2" s="1"/>
  <c r="F16" i="4" s="1"/>
  <c r="G18" i="6"/>
  <c r="I22" i="4"/>
  <c r="K22" i="4" s="1"/>
  <c r="I26" i="4"/>
  <c r="K26" i="4" s="1"/>
  <c r="I24" i="4"/>
  <c r="K24" i="4" s="1"/>
  <c r="G19" i="6"/>
  <c r="I21" i="4"/>
  <c r="K21" i="4" s="1"/>
  <c r="J25" i="4"/>
  <c r="J21" i="4"/>
  <c r="J17" i="4"/>
  <c r="K25" i="4"/>
  <c r="K17" i="4"/>
  <c r="K20" i="4"/>
  <c r="K16" i="4"/>
  <c r="J24" i="4"/>
  <c r="J20" i="4"/>
  <c r="J16" i="4"/>
  <c r="K19" i="4"/>
  <c r="J22" i="4"/>
  <c r="J19" i="4"/>
  <c r="J26" i="4"/>
  <c r="J23" i="4"/>
  <c r="J18" i="4"/>
  <c r="K18" i="4"/>
  <c r="C21" i="8" l="1"/>
  <c r="E21" i="8" s="1"/>
  <c r="H5" i="4"/>
  <c r="H6" i="4" s="1"/>
  <c r="C5" i="8" s="1"/>
  <c r="E5" i="8" s="1"/>
  <c r="L18" i="4"/>
  <c r="L22" i="4"/>
  <c r="Q22" i="4" s="1"/>
  <c r="L17" i="4"/>
  <c r="W17" i="4" s="1"/>
  <c r="L21" i="4"/>
  <c r="Y21" i="4" s="1"/>
  <c r="L25" i="4"/>
  <c r="P25" i="4" s="1"/>
  <c r="L23" i="4"/>
  <c r="L16" i="4"/>
  <c r="L24" i="4"/>
  <c r="L26" i="4"/>
  <c r="L20" i="4"/>
  <c r="L19" i="4"/>
  <c r="H7" i="4"/>
  <c r="AM17" i="4" l="1"/>
  <c r="AN17" i="4"/>
  <c r="AO17" i="4"/>
  <c r="O17" i="4"/>
  <c r="AF21" i="4"/>
  <c r="U21" i="4"/>
  <c r="AD21" i="4"/>
  <c r="AM21" i="4"/>
  <c r="X21" i="4"/>
  <c r="AH21" i="4"/>
  <c r="AI21" i="4"/>
  <c r="AE21" i="4"/>
  <c r="AG21" i="4"/>
  <c r="O21" i="4"/>
  <c r="AO21" i="4"/>
  <c r="AN21" i="4"/>
  <c r="P21" i="4"/>
  <c r="Q21" i="4"/>
  <c r="X17" i="4"/>
  <c r="AD17" i="4"/>
  <c r="AI17" i="4"/>
  <c r="AE17" i="4"/>
  <c r="AG17" i="4"/>
  <c r="AH17" i="4"/>
  <c r="AF17" i="4"/>
  <c r="O22" i="4"/>
  <c r="P22" i="4"/>
  <c r="O25" i="4"/>
  <c r="Q25" i="4"/>
  <c r="P17" i="4"/>
  <c r="Q17" i="4"/>
  <c r="Q18" i="4"/>
  <c r="O18" i="4"/>
  <c r="P18" i="4"/>
  <c r="Z21" i="4"/>
  <c r="U17" i="4"/>
  <c r="Z17" i="4"/>
  <c r="Y17" i="4"/>
  <c r="V17" i="4"/>
  <c r="V21" i="4"/>
  <c r="W21" i="4"/>
  <c r="H8" i="4"/>
  <c r="AG19" i="4"/>
  <c r="AF19" i="4"/>
  <c r="AE19" i="4"/>
  <c r="AD19" i="4"/>
  <c r="Z19" i="4"/>
  <c r="Y19" i="4"/>
  <c r="X19" i="4"/>
  <c r="W19" i="4"/>
  <c r="V19" i="4"/>
  <c r="U19" i="4"/>
  <c r="Q19" i="4"/>
  <c r="P19" i="4"/>
  <c r="O19" i="4"/>
  <c r="AN19" i="4"/>
  <c r="AI19" i="4"/>
  <c r="AM19" i="4"/>
  <c r="AH19" i="4"/>
  <c r="AO19" i="4"/>
  <c r="Q23" i="4"/>
  <c r="P23" i="4"/>
  <c r="O23" i="4"/>
  <c r="P26" i="4"/>
  <c r="Q26" i="4"/>
  <c r="O26" i="4"/>
  <c r="Y20" i="4"/>
  <c r="X20" i="4"/>
  <c r="W20" i="4"/>
  <c r="V20" i="4"/>
  <c r="U20" i="4"/>
  <c r="Q20" i="4"/>
  <c r="P20" i="4"/>
  <c r="O20" i="4"/>
  <c r="AO20" i="4"/>
  <c r="AN20" i="4"/>
  <c r="AM20" i="4"/>
  <c r="AI20" i="4"/>
  <c r="AF20" i="4"/>
  <c r="AH20" i="4"/>
  <c r="AD20" i="4"/>
  <c r="AG20" i="4"/>
  <c r="AE20" i="4"/>
  <c r="Z20" i="4"/>
  <c r="Y16" i="4"/>
  <c r="X16" i="4"/>
  <c r="W16" i="4"/>
  <c r="V16" i="4"/>
  <c r="U16" i="4"/>
  <c r="Q16" i="4"/>
  <c r="P16" i="4"/>
  <c r="O16" i="4"/>
  <c r="AO16" i="4"/>
  <c r="AN16" i="4"/>
  <c r="AM16" i="4"/>
  <c r="AI16" i="4"/>
  <c r="AF16" i="4"/>
  <c r="AH16" i="4"/>
  <c r="AG16" i="4"/>
  <c r="AE16" i="4"/>
  <c r="AD16" i="4"/>
  <c r="Z16" i="4"/>
  <c r="C41" i="4"/>
  <c r="D11" i="8" s="1"/>
  <c r="C40" i="4"/>
  <c r="Y24" i="4"/>
  <c r="X24" i="4"/>
  <c r="W24" i="4"/>
  <c r="V24" i="4"/>
  <c r="U24" i="4"/>
  <c r="Q24" i="4"/>
  <c r="P24" i="4"/>
  <c r="O24" i="4"/>
  <c r="AO24" i="4"/>
  <c r="AN24" i="4"/>
  <c r="AM24" i="4"/>
  <c r="AI24" i="4"/>
  <c r="AF24" i="4"/>
  <c r="AG24" i="4"/>
  <c r="AE24" i="4"/>
  <c r="Z24" i="4"/>
  <c r="AH24" i="4"/>
  <c r="AD24" i="4"/>
  <c r="E36" i="4" l="1"/>
  <c r="X7" i="5" s="1"/>
  <c r="C6" i="8"/>
  <c r="E6" i="8" s="1"/>
  <c r="H9" i="4"/>
  <c r="M16" i="4" s="1"/>
  <c r="D36" i="4"/>
  <c r="P7" i="5" s="1"/>
  <c r="H10" i="4"/>
  <c r="C36" i="4"/>
  <c r="C11" i="8" l="1"/>
  <c r="E11" i="8" s="1"/>
  <c r="H7" i="5"/>
  <c r="M25" i="4"/>
  <c r="M24" i="4"/>
  <c r="M18" i="4"/>
  <c r="M19" i="4"/>
  <c r="M17" i="4"/>
  <c r="M26" i="4"/>
  <c r="M22" i="4"/>
  <c r="M20" i="4"/>
  <c r="M21" i="4"/>
  <c r="M23" i="4"/>
  <c r="X18" i="4" l="1"/>
  <c r="AA18" i="4" s="1"/>
  <c r="Y18" i="4"/>
  <c r="Z18" i="4"/>
  <c r="AG18" i="4"/>
  <c r="AH18" i="4" s="1"/>
  <c r="AI18" i="4" s="1"/>
  <c r="Y26" i="4"/>
  <c r="X26" i="4"/>
  <c r="AA26" i="4" s="1"/>
  <c r="AG26" i="4"/>
  <c r="N26" i="4"/>
  <c r="Z26" i="4"/>
  <c r="R26" i="4"/>
  <c r="X23" i="4"/>
  <c r="AA23" i="4" s="1"/>
  <c r="N23" i="4"/>
  <c r="Y23" i="4"/>
  <c r="Z23" i="4"/>
  <c r="AG23" i="4"/>
  <c r="R23" i="4"/>
  <c r="AG22" i="4"/>
  <c r="Z22" i="4"/>
  <c r="Y22" i="4"/>
  <c r="X22" i="4"/>
  <c r="AA22" i="4" s="1"/>
  <c r="N22" i="4"/>
  <c r="R22" i="4"/>
  <c r="N17" i="4"/>
  <c r="R17" i="4"/>
  <c r="S17" i="4" s="1"/>
  <c r="T17" i="4" s="1"/>
  <c r="AA17" i="4"/>
  <c r="AB17" i="4" s="1"/>
  <c r="AC17" i="4" s="1"/>
  <c r="AJ17" i="4"/>
  <c r="AK17" i="4" s="1"/>
  <c r="AL17" i="4" s="1"/>
  <c r="N19" i="4"/>
  <c r="AJ19" i="4"/>
  <c r="AK19" i="4" s="1"/>
  <c r="AL19" i="4" s="1"/>
  <c r="R19" i="4"/>
  <c r="S19" i="4" s="1"/>
  <c r="T19" i="4" s="1"/>
  <c r="AA19" i="4"/>
  <c r="AB19" i="4" s="1"/>
  <c r="AC19" i="4" s="1"/>
  <c r="N18" i="4"/>
  <c r="R18" i="4"/>
  <c r="X25" i="4"/>
  <c r="AA25" i="4" s="1"/>
  <c r="Z25" i="4"/>
  <c r="Y25" i="4"/>
  <c r="N25" i="4"/>
  <c r="AG25" i="4"/>
  <c r="R25" i="4"/>
  <c r="N21" i="4"/>
  <c r="R21" i="4"/>
  <c r="S21" i="4" s="1"/>
  <c r="T21" i="4" s="1"/>
  <c r="AJ21" i="4"/>
  <c r="AK21" i="4" s="1"/>
  <c r="AL21" i="4" s="1"/>
  <c r="AA21" i="4"/>
  <c r="AB21" i="4" s="1"/>
  <c r="AC21" i="4" s="1"/>
  <c r="C7" i="8"/>
  <c r="E7" i="8" s="1"/>
  <c r="N16" i="4"/>
  <c r="R16" i="4"/>
  <c r="AJ16" i="4"/>
  <c r="AK16" i="4" s="1"/>
  <c r="AL16" i="4" s="1"/>
  <c r="AA16" i="4"/>
  <c r="AB16" i="4" s="1"/>
  <c r="AC16" i="4" s="1"/>
  <c r="N20" i="4"/>
  <c r="R20" i="4"/>
  <c r="S20" i="4" s="1"/>
  <c r="T20" i="4" s="1"/>
  <c r="AJ20" i="4"/>
  <c r="AK20" i="4" s="1"/>
  <c r="AL20" i="4" s="1"/>
  <c r="AA20" i="4"/>
  <c r="AB20" i="4" s="1"/>
  <c r="AC20" i="4" s="1"/>
  <c r="N24" i="4"/>
  <c r="AA24" i="4"/>
  <c r="AB24" i="4" s="1"/>
  <c r="AC24" i="4" s="1"/>
  <c r="R24" i="4"/>
  <c r="S24" i="4" s="1"/>
  <c r="T24" i="4" s="1"/>
  <c r="AJ24" i="4"/>
  <c r="AK24" i="4" s="1"/>
  <c r="AL24" i="4" s="1"/>
  <c r="AJ18" i="4" l="1"/>
  <c r="AK18" i="4" s="1"/>
  <c r="AB18" i="4"/>
  <c r="AD18" i="4"/>
  <c r="S18" i="4"/>
  <c r="U18" i="4"/>
  <c r="AB22" i="4"/>
  <c r="AD22" i="4"/>
  <c r="AB25" i="4"/>
  <c r="AD25" i="4"/>
  <c r="AJ22" i="4"/>
  <c r="AH22" i="4"/>
  <c r="AI22" i="4" s="1"/>
  <c r="AJ23" i="4"/>
  <c r="AH23" i="4"/>
  <c r="AI23" i="4" s="1"/>
  <c r="S25" i="4"/>
  <c r="U25" i="4"/>
  <c r="S23" i="4"/>
  <c r="U23" i="4"/>
  <c r="AJ25" i="4"/>
  <c r="AH25" i="4"/>
  <c r="AI25" i="4" s="1"/>
  <c r="AJ26" i="4"/>
  <c r="AH26" i="4"/>
  <c r="AI26" i="4" s="1"/>
  <c r="C14" i="8"/>
  <c r="E14" i="8" s="1"/>
  <c r="AB23" i="4"/>
  <c r="AD23" i="4"/>
  <c r="AB26" i="4"/>
  <c r="AD26" i="4"/>
  <c r="S22" i="4"/>
  <c r="U22" i="4"/>
  <c r="S16" i="4"/>
  <c r="T16" i="4" s="1"/>
  <c r="S26" i="4"/>
  <c r="U26" i="4"/>
  <c r="AM18" i="4" l="1"/>
  <c r="AL18" i="4"/>
  <c r="AO18" i="4" s="1"/>
  <c r="AN18" i="4"/>
  <c r="T18" i="4"/>
  <c r="W18" i="4" s="1"/>
  <c r="V18" i="4"/>
  <c r="AC18" i="4"/>
  <c r="AF18" i="4" s="1"/>
  <c r="AE18" i="4"/>
  <c r="C15" i="8"/>
  <c r="E15" i="8" s="1"/>
  <c r="AK26" i="4"/>
  <c r="AM26" i="4"/>
  <c r="AK25" i="4"/>
  <c r="AM25" i="4"/>
  <c r="T23" i="4"/>
  <c r="W23" i="4" s="1"/>
  <c r="V23" i="4"/>
  <c r="AK22" i="4"/>
  <c r="AM22" i="4"/>
  <c r="T22" i="4"/>
  <c r="V22" i="4"/>
  <c r="AK23" i="4"/>
  <c r="AM23" i="4"/>
  <c r="AC25" i="4"/>
  <c r="AF25" i="4" s="1"/>
  <c r="AE25" i="4"/>
  <c r="U27" i="4"/>
  <c r="AC26" i="4"/>
  <c r="AF26" i="4" s="1"/>
  <c r="AE26" i="4"/>
  <c r="AC23" i="4"/>
  <c r="AF23" i="4" s="1"/>
  <c r="AE23" i="4"/>
  <c r="T25" i="4"/>
  <c r="W25" i="4" s="1"/>
  <c r="V25" i="4"/>
  <c r="AD27" i="4"/>
  <c r="T26" i="4"/>
  <c r="W26" i="4" s="1"/>
  <c r="V26" i="4"/>
  <c r="AC22" i="4"/>
  <c r="AE22" i="4"/>
  <c r="AE27" i="4" l="1"/>
  <c r="D32" i="4" s="1"/>
  <c r="L7" i="5" s="1"/>
  <c r="C38" i="4"/>
  <c r="J7" i="5" s="1"/>
  <c r="C31" i="4"/>
  <c r="W22" i="4"/>
  <c r="C37" i="4"/>
  <c r="I7" i="5" s="1"/>
  <c r="AL23" i="4"/>
  <c r="AO23" i="4" s="1"/>
  <c r="AN23" i="4"/>
  <c r="AM27" i="4"/>
  <c r="AF22" i="4"/>
  <c r="D37" i="4"/>
  <c r="Q7" i="5" s="1"/>
  <c r="D38" i="4"/>
  <c r="R7" i="5" s="1"/>
  <c r="D31" i="4"/>
  <c r="K7" i="5" s="1"/>
  <c r="V27" i="4"/>
  <c r="C32" i="4" s="1"/>
  <c r="D7" i="5" s="1"/>
  <c r="AL22" i="4"/>
  <c r="AN22" i="4"/>
  <c r="AL25" i="4"/>
  <c r="AO25" i="4" s="1"/>
  <c r="AN25" i="4"/>
  <c r="AL26" i="4"/>
  <c r="AO26" i="4" s="1"/>
  <c r="AN26" i="4"/>
  <c r="C16" i="8" l="1"/>
  <c r="E16" i="8" s="1"/>
  <c r="AO22" i="4"/>
  <c r="E37" i="4"/>
  <c r="Y7" i="5" s="1"/>
  <c r="D35" i="4"/>
  <c r="O7" i="5" s="1"/>
  <c r="AF27" i="4"/>
  <c r="E31" i="4"/>
  <c r="S7" i="5" s="1"/>
  <c r="E38" i="4"/>
  <c r="Z7" i="5" s="1"/>
  <c r="C35" i="4"/>
  <c r="W27" i="4"/>
  <c r="C33" i="4" s="1"/>
  <c r="C7" i="5"/>
  <c r="AN27" i="4"/>
  <c r="E32" i="4" s="1"/>
  <c r="T7" i="5" s="1"/>
  <c r="E7" i="5" l="1"/>
  <c r="C34" i="4"/>
  <c r="D33" i="4"/>
  <c r="M7" i="5" s="1"/>
  <c r="D34" i="4"/>
  <c r="N7" i="5" s="1"/>
  <c r="G7" i="5"/>
  <c r="E35" i="4"/>
  <c r="W7" i="5" s="1"/>
  <c r="AO27" i="4"/>
  <c r="E33" i="4" s="1"/>
  <c r="U7" i="5" s="1"/>
  <c r="C13" i="8" l="1"/>
  <c r="F7" i="5"/>
  <c r="E34" i="4"/>
  <c r="D12" i="8"/>
  <c r="D13" i="8"/>
  <c r="D45" i="6" l="1"/>
  <c r="C45" i="6"/>
  <c r="B32" i="6"/>
  <c r="B22" i="6"/>
  <c r="B9" i="6"/>
  <c r="V7" i="5"/>
  <c r="C81" i="6"/>
  <c r="D17" i="8"/>
  <c r="E17" i="8" s="1"/>
  <c r="C12" i="8"/>
  <c r="E12" i="8" s="1"/>
  <c r="E13" i="8"/>
  <c r="C26" i="8" l="1"/>
  <c r="C14" i="1" s="1"/>
</calcChain>
</file>

<file path=xl/sharedStrings.xml><?xml version="1.0" encoding="utf-8"?>
<sst xmlns="http://schemas.openxmlformats.org/spreadsheetml/2006/main" count="418" uniqueCount="344">
  <si>
    <t>Moving HubSpot's existing customers to seats pricing</t>
  </si>
  <si>
    <t>A model of three ways to migrate the installed base after HubSpot's 5 March 2024 pricing change. Public data only.</t>
  </si>
  <si>
    <t>Revenue against keeping the old prices, three years</t>
  </si>
  <si>
    <t>A: reprice to list</t>
  </si>
  <si>
    <t>B: HubSpot's 5% plan</t>
  </si>
  <si>
    <t>C: phased to list</t>
  </si>
  <si>
    <t>Weighted (25% bear, 50% base, 25% bull)</t>
  </si>
  <si>
    <t>Bear case</t>
  </si>
  <si>
    <t>Base case</t>
  </si>
  <si>
    <t>Bull case</t>
  </si>
  <si>
    <t>Year 3 alone, weighted</t>
  </si>
  <si>
    <t>Customers lost to the increases by year 3, base</t>
  </si>
  <si>
    <t>Stop the steps of C if a step's extra churn passes</t>
  </si>
  <si>
    <t>Integrity checks</t>
  </si>
  <si>
    <t>How to use it</t>
  </si>
  <si>
    <t>Inputs: pick a scenario (C5), or type a value in a driver's Set column; every result recalculates. Blue cells are facts with their source, yellow cells are judgments with the reason.</t>
  </si>
  <si>
    <t>PriceBook: the old and new monthly list price for one customer by number of users, read from HubSpot's archived pages.</t>
  </si>
  <si>
    <t>Model: each segment's old and new bill and the three options year by year. Cases, Sensitivity: Excel data tables over the Model.</t>
  </si>
  <si>
    <t>Lookback: what HubSpot reported afterwards. Checks: every integrity check; the count is above.</t>
  </si>
  <si>
    <t>Inputs</t>
  </si>
  <si>
    <t>Blue fill: facts from HubSpot's filings or archived pages, with the source. Yellow fill: judgments, with the reason. Everything else is a formula.</t>
  </si>
  <si>
    <t>Selectors</t>
  </si>
  <si>
    <t>Scenario (1 bear, 2 base, 3 bull)</t>
  </si>
  <si>
    <t>Scenario in use (a data table may hold it; sensitivity tables use the base case)</t>
  </si>
  <si>
    <t>A sensitivity table is running</t>
  </si>
  <si>
    <t>A Set value is typed (sensitivity tables ignore Set values and use the base case as built)</t>
  </si>
  <si>
    <t>Facts from HubSpot's FY2023 10-K</t>
  </si>
  <si>
    <t>Fact</t>
  </si>
  <si>
    <t>Value</t>
  </si>
  <si>
    <t>Unit</t>
  </si>
  <si>
    <t>Form</t>
  </si>
  <si>
    <t>Accession</t>
  </si>
  <si>
    <t>Where in the filing</t>
  </si>
  <si>
    <t>Customers, 31 December 2023</t>
  </si>
  <si>
    <t>count</t>
  </si>
  <si>
    <t>10-K</t>
  </si>
  <si>
    <t>0000950170-24-015277</t>
  </si>
  <si>
    <t>Key business metrics table: Customers 205,091 · https://www.sec.gov/Archives/edgar/data/1404655/000095017024015277/hubs-20231231.htm</t>
  </si>
  <si>
    <t>Average Subscription Revenue per Customer, 2023</t>
  </si>
  <si>
    <t>$</t>
  </si>
  <si>
    <t>Key business metrics table: $11,384 · https://www.sec.gov/Archives/edgar/data/1404655/000095017024015277/hubs-20231231.htm</t>
  </si>
  <si>
    <t>Net Revenue Retention, 2023</t>
  </si>
  <si>
    <t>%</t>
  </si>
  <si>
    <t>Key business metrics table: 103.9% · https://www.sec.gov/Archives/edgar/data/1404655/000095017024015277/hubs-20231231.htm</t>
  </si>
  <si>
    <t>Subscription revenue, 2023</t>
  </si>
  <si>
    <t>Subscription $2,123,479 thousand · https://www.sec.gov/Archives/edgar/data/1404655/000095017024015277/hubs-20231231.htm</t>
  </si>
  <si>
    <t>Prices from HubSpot's own pricing pages (Internet Archive snapshots; the default view, pay upfront and commit annually)</t>
  </si>
  <si>
    <t>Price</t>
  </si>
  <si>
    <t>Captured</t>
  </si>
  <si>
    <t>Quoted on the page · snapshot URL</t>
  </si>
  <si>
    <t>Sales Hub Professional, before: monthly price</t>
  </si>
  <si>
    <t>$/mo</t>
  </si>
  <si>
    <t>2023-12-01</t>
  </si>
  <si>
    <t>“$450/mo” · https://web.archive.org/web/20231201184809/https://www.hubspot.com/pricing/sales/enterprise?term=annual&amp;products=sales-hub-professional_1</t>
  </si>
  <si>
    <t>Sales Hub Professional, before: paid users included</t>
  </si>
  <si>
    <t>users</t>
  </si>
  <si>
    <t>“Includes 5 paid users” · https://web.archive.org/web/20231201184809/https://www.hubspot.com/pricing/sales/enterprise?term=annual&amp;products=sales-hub-professional_1</t>
  </si>
  <si>
    <t>Sales Hub Professional, before: each additional user</t>
  </si>
  <si>
    <t>“$90/mo per additional user” · https://web.archive.org/web/20231201184809/https://www.hubspot.com/pricing/sales/enterprise?term=annual&amp;products=sales-hub-professional_1</t>
  </si>
  <si>
    <t>Sales Hub Enterprise, before: monthly price</t>
  </si>
  <si>
    <t>“$1,500/mo” · https://web.archive.org/web/20231201184809/https://www.hubspot.com/pricing/sales/enterprise?term=annual&amp;products=sales-hub-professional_1</t>
  </si>
  <si>
    <t>Sales Hub Enterprise, before: paid users included</t>
  </si>
  <si>
    <t>“Includes 10 paid users” · https://web.archive.org/web/20231201184809/https://www.hubspot.com/pricing/sales/enterprise?term=annual&amp;products=sales-hub-professional_1</t>
  </si>
  <si>
    <t>Sales Hub Enterprise, before: each additional user</t>
  </si>
  <si>
    <t>“$150/mo per additional user” · https://web.archive.org/web/20231201184809/https://www.hubspot.com/pricing/sales/enterprise?term=annual&amp;products=sales-hub-professional_1</t>
  </si>
  <si>
    <t>Sales Hub Professional, after: per seat</t>
  </si>
  <si>
    <t>2024-04-17</t>
  </si>
  <si>
    <t>“$90/mo/seat” · https://web.archive.org/web/20240417194300/https://www.hubspot.com/pricing/sales/enterprise (second copy: https://web.archive.org/web/20240524202104/https://www.hubspot.com/pricing/sales/enterprise)</t>
  </si>
  <si>
    <t>Sales Hub Enterprise, after: per seat</t>
  </si>
  <si>
    <t>“$150/mo/seat” · https://web.archive.org/web/20240417194300/https://www.hubspot.com/pricing/sales/enterprise (second copy: https://web.archive.org/web/20240524202104/https://www.hubspot.com/pricing/sales/enterprise)</t>
  </si>
  <si>
    <t>Marketing Hub Professional: monthly price, before and after</t>
  </si>
  <si>
    <t>2024-03-05</t>
  </si>
  <si>
    <t>“$800/mo” · https://web.archive.org/web/20240305200055/https://www.hubspot.com/pricing/marketing (and before: https://web.archive.org/web/20240118151823/https://www.hubspot.com/pricing/marketing)</t>
  </si>
  <si>
    <t>Marketing Hub Professional, after: seats included</t>
  </si>
  <si>
    <t>seats</t>
  </si>
  <si>
    <t>“Includes 3 seats” · https://web.archive.org/web/20240305200055/https://www.hubspot.com/pricing/marketing</t>
  </si>
  <si>
    <t>Marketing Hub Professional, after: each additional seat</t>
  </si>
  <si>
    <t>“Additional seats start at $45/mo” · https://web.archive.org/web/20240305200055/https://www.hubspot.com/pricing/marketing</t>
  </si>
  <si>
    <t>Marketing Hub Enterprise: monthly price, before and after</t>
  </si>
  <si>
    <t>“$3,600/mo” · https://web.archive.org/web/20240305200055/https://www.hubspot.com/pricing/marketing (and before: https://web.archive.org/web/20240118151823/https://www.hubspot.com/pricing/marketing)</t>
  </si>
  <si>
    <t>Marketing Hub Enterprise, after: seats included</t>
  </si>
  <si>
    <t>“Includes 5 seats” · https://web.archive.org/web/20240305200055/https://www.hubspot.com/pricing/marketing</t>
  </si>
  <si>
    <t>Marketing Hub Enterprise, after: each additional seat</t>
  </si>
  <si>
    <t>“Additional seats start at $75/mo” · https://web.archive.org/web/20240305200055/https://www.hubspot.com/pricing/marketing</t>
  </si>
  <si>
    <t>HubSpot's announced cap on the migration-related increase at renewal</t>
  </si>
  <si>
    <t>2024-05-22</t>
  </si>
  <si>
    <t>“approximately 5% or less” · https://web.archive.org/web/20240522171430/https://ir.hubspot.com/news/upcoming-changes-to-hubspots-pricing</t>
  </si>
  <si>
    <t>Drivers (judgments). Live = the value the Model uses now: a running data table first, then Set, then the scenario's column</t>
  </si>
  <si>
    <t>Driver</t>
  </si>
  <si>
    <t>Bear</t>
  </si>
  <si>
    <t>Base</t>
  </si>
  <si>
    <t>Bull</t>
  </si>
  <si>
    <t>Tornado low</t>
  </si>
  <si>
    <t>Tornado high</t>
  </si>
  <si>
    <t>Set</t>
  </si>
  <si>
    <t>Live</t>
  </si>
  <si>
    <t>Why this value</t>
  </si>
  <si>
    <t>Extra churn per point of increase above what customers absorb</t>
  </si>
  <si>
    <t>No public data on HubSpot's price elasticity. In the base case a customer facing a 15% rise, 10 points above the 5% it absorbs, leaves with a 5% chance in that year; the bear case is 8%, the bull case 2.5%.</t>
  </si>
  <si>
    <t>Marketing users above the included seats who take a free view-only seat</t>
  </si>
  <si>
    <t>View-only seats are free and unlimited (HubSpot's announcement), so users who only read reports need no paid seat. Under the old Marketing Hub page no seat was priced, so the share of light users is unknown.</t>
  </si>
  <si>
    <t>Share of customers below the old minimum who cut to the seats they use, each renewal</t>
  </si>
  <si>
    <t>Under a price-neutral migration the bill only falls if the customer removes seats at renewal; many will not look. Under repricing to list every one of them falls at once.</t>
  </si>
  <si>
    <t>Increase a customer absorbs without extra churn</t>
  </si>
  <si>
    <t>HubSpot itself told existing customers to expect approximately 5% or less at renewal, which reads as the size it judged routine. Tested from 3% to 8%.</t>
  </si>
  <si>
    <t>Phased plan: largest step per renewal</t>
  </si>
  <si>
    <t>The decision variable of the recommended plan. Ten per cent is the best three-year result on the cap curve in the base case (the workbook checks it).</t>
  </si>
  <si>
    <t>Price paid as a share of list</t>
  </si>
  <si>
    <t>Partners, annual prepay and promotions discount list prices; HubSpot does not disclose the average discount. Applied to old and new prices alike, so it scales the changes but not their sign.</t>
  </si>
  <si>
    <t>Yearly revenue per customer outside the modelled segments</t>
  </si>
  <si>
    <t>Mostly Starter customers (list $20 to $50 a month per Hub) plus Professional customers whose main Hub is Service, Content or Operations; a blended guess, tested from $1,500 to $4,500.</t>
  </si>
  <si>
    <t>Customers below the old minimums, against the split</t>
  </si>
  <si>
    <t>1 = the split above; tested from 0.5 to 1.5 times the share of Sales Hub customers with fewer users than the old minimum.</t>
  </si>
  <si>
    <t>Customers above the new seat allowance, against the split</t>
  </si>
  <si>
    <t>1 = the split above; tested from 0.5 to 1.5 times the share of Marketing Hub customers with more editors than the included seats.</t>
  </si>
  <si>
    <t>Scenario weights (judgment): bear and bull equally likely, base twice as likely</t>
  </si>
  <si>
    <t>Weight of the bear case</t>
  </si>
  <si>
    <t>Weight of the base case</t>
  </si>
  <si>
    <t>Weight of the bull case</t>
  </si>
  <si>
    <t>The customer base: segments (a judgment), tied to the disclosed customers and revenue per customer</t>
  </si>
  <si>
    <t>Segment</t>
  </si>
  <si>
    <t>Hub</t>
  </si>
  <si>
    <t>Tier</t>
  </si>
  <si>
    <t>Users who edit</t>
  </si>
  <si>
    <t>Share of customers</t>
  </si>
  <si>
    <t>Allowance</t>
  </si>
  <si>
    <t>Scale</t>
  </si>
  <si>
    <t>Customers</t>
  </si>
  <si>
    <t>Why</t>
  </si>
  <si>
    <t>S1</t>
  </si>
  <si>
    <t>Sales Hub</t>
  </si>
  <si>
    <t>Professional</t>
  </si>
  <si>
    <t>HubSpot does not disclose customers by Hub, tier or number of users, so this split is a judgment. About a third of customers are put on a Professional or Enterprise Sales Hub or Marketing Hub, as their main seat-priced product, because the filings say customer growth came mostly from lower-priced Starter products; the rest stay outside the model with their revenue unchanged. Team sizes are chosen to sit on both sides of each old minimum (5 and 10 paid users) and each new allowance (3 and 5 seats). The split is tied to the disclosed base: customers × revenue per customer, and the revenue not explained by list prices is spread over the modelled customers as other subscription revenue the change does not touch.</t>
  </si>
  <si>
    <t>S2</t>
  </si>
  <si>
    <t>S3</t>
  </si>
  <si>
    <t>S4</t>
  </si>
  <si>
    <t>Enterprise</t>
  </si>
  <si>
    <t>S5</t>
  </si>
  <si>
    <t>M1</t>
  </si>
  <si>
    <t>Marketing Hub</t>
  </si>
  <si>
    <t>M2</t>
  </si>
  <si>
    <t>M3</t>
  </si>
  <si>
    <t>M4</t>
  </si>
  <si>
    <t>M5</t>
  </si>
  <si>
    <t>M6</t>
  </si>
  <si>
    <t>PriceBook</t>
  </si>
  <si>
    <t>Monthly list price for one customer by number of users who need edit access, old and new, from the archived pages (formulas on Inputs).</t>
  </si>
  <si>
    <t>Users</t>
  </si>
  <si>
    <t>Sales Pro old</t>
  </si>
  <si>
    <t>Sales Pro new</t>
  </si>
  <si>
    <t>Sales Ent old</t>
  </si>
  <si>
    <t>Sales Ent new</t>
  </si>
  <si>
    <t>Marketing Pro old</t>
  </si>
  <si>
    <t>Marketing Pro new</t>
  </si>
  <si>
    <t>Marketing Ent old</t>
  </si>
  <si>
    <t>Marketing Ent new</t>
  </si>
  <si>
    <t>New Marketing Hub prices assume every editor takes a paid seat (no view-only seats). Monthly, before the discount from list (Inputs: price paid as a share of list).</t>
  </si>
  <si>
    <t>Model</t>
  </si>
  <si>
    <t>All three migration options side by side for the scenario in use. Yearly revenue against keeping every existing customer on the old prices.</t>
  </si>
  <si>
    <t>Run-rate subscription revenue entering 2024 (customers × revenue per customer)</t>
  </si>
  <si>
    <t>Customers in the segments</t>
  </si>
  <si>
    <t>Customers outside the segments (revenue unchanged)</t>
  </si>
  <si>
    <t>Old seat-priced revenue of the segments (list × share paid)</t>
  </si>
  <si>
    <t>Other subscription revenue of the segment customers (the rest of the run-rate)</t>
  </si>
  <si>
    <t>Other revenue as a multiple of old seat-priced revenue</t>
  </si>
  <si>
    <t>Segment customers' share of run-rate revenue</t>
  </si>
  <si>
    <t>Old list / mo</t>
  </si>
  <si>
    <t>New list / mo</t>
  </si>
  <si>
    <t>Old seat revenue / yr</t>
  </si>
  <si>
    <t>New seat revenue / yr</t>
  </si>
  <si>
    <t>Change / yr</t>
  </si>
  <si>
    <t>Whole bill / yr</t>
  </si>
  <si>
    <t>Change on bill</t>
  </si>
  <si>
    <t>A increase y1</t>
  </si>
  <si>
    <t>A increase y2</t>
  </si>
  <si>
    <t>A increase y3</t>
  </si>
  <si>
    <t>A kept y1</t>
  </si>
  <si>
    <t>A kept y2</t>
  </si>
  <si>
    <t>A kept y3</t>
  </si>
  <si>
    <t>A revenue y1</t>
  </si>
  <si>
    <t>A revenue y2</t>
  </si>
  <si>
    <t>A revenue y3</t>
  </si>
  <si>
    <t>B increase y1</t>
  </si>
  <si>
    <t>B increase y2</t>
  </si>
  <si>
    <t>B increase y3</t>
  </si>
  <si>
    <t>B kept y1</t>
  </si>
  <si>
    <t>B kept y2</t>
  </si>
  <si>
    <t>B kept y3</t>
  </si>
  <si>
    <t>B revenue y1</t>
  </si>
  <si>
    <t>B revenue y2</t>
  </si>
  <si>
    <t>B revenue y3</t>
  </si>
  <si>
    <t>C increase y1</t>
  </si>
  <si>
    <t>C increase y2</t>
  </si>
  <si>
    <t>C increase y3</t>
  </si>
  <si>
    <t>C kept y1</t>
  </si>
  <si>
    <t>C kept y2</t>
  </si>
  <si>
    <t>C kept y3</t>
  </si>
  <si>
    <t>C revenue y1</t>
  </si>
  <si>
    <t>C revenue y2</t>
  </si>
  <si>
    <t>C revenue y3</t>
  </si>
  <si>
    <t>Total</t>
  </si>
  <si>
    <t>Results for the scenario in use (revenue against keeping the old prices)</t>
  </si>
  <si>
    <t>Result</t>
  </si>
  <si>
    <t>Year 1 revenue change</t>
  </si>
  <si>
    <t>Year 2 revenue change</t>
  </si>
  <si>
    <t>Year 3 revenue change (run-rate after three renewals)</t>
  </si>
  <si>
    <t>Three years together</t>
  </si>
  <si>
    <t>Year 3: from customers whose new price is higher</t>
  </si>
  <si>
    <t>Year 3: from customers whose new price is lower</t>
  </si>
  <si>
    <t>Customers lost to the increases by year 3</t>
  </si>
  <si>
    <t>Year 1 change in points of net revenue retention</t>
  </si>
  <si>
    <t>Seat revenue change at full new list, customers whose price rises (a year, no churn)</t>
  </si>
  <si>
    <t>Seat revenue change at full new list, customers whose price falls (a year)</t>
  </si>
  <si>
    <t>Cases</t>
  </si>
  <si>
    <t>An Excel data table runs the Model for each scenario; the weighted row uses the scenario weights on Inputs.</t>
  </si>
  <si>
    <t>Scenario a data table asks for (blank in normal use)</t>
  </si>
  <si>
    <t>Scenario</t>
  </si>
  <si>
    <t>A · Y1</t>
  </si>
  <si>
    <t>A · Y2</t>
  </si>
  <si>
    <t>A · Y3</t>
  </si>
  <si>
    <t>A · Cum</t>
  </si>
  <si>
    <t>A · Up</t>
  </si>
  <si>
    <t>A · Risk</t>
  </si>
  <si>
    <t>A · Lost</t>
  </si>
  <si>
    <t>A · Nrr</t>
  </si>
  <si>
    <t>B · Y1</t>
  </si>
  <si>
    <t>B · Y2</t>
  </si>
  <si>
    <t>B · Y3</t>
  </si>
  <si>
    <t>B · Cum</t>
  </si>
  <si>
    <t>B · Up</t>
  </si>
  <si>
    <t>B · Risk</t>
  </si>
  <si>
    <t>B · Lost</t>
  </si>
  <si>
    <t>B · Nrr</t>
  </si>
  <si>
    <t>C · Y1</t>
  </si>
  <si>
    <t>C · Y2</t>
  </si>
  <si>
    <t>C · Y3</t>
  </si>
  <si>
    <t>C · Cum</t>
  </si>
  <si>
    <t>C · Up</t>
  </si>
  <si>
    <t>C · Risk</t>
  </si>
  <si>
    <t>C · Lost</t>
  </si>
  <si>
    <t>C · Nrr</t>
  </si>
  <si>
    <t>(formulas)</t>
  </si>
  <si>
    <t>Weighted</t>
  </si>
  <si>
    <t>C against B, three years, by scenario</t>
  </si>
  <si>
    <t>C − B</t>
  </si>
  <si>
    <t>C − A</t>
  </si>
  <si>
    <t>Sensitivity</t>
  </si>
  <si>
    <t>Data tables over the live Model, base case. Tornado on the three-year result of C; the two-way tables use its two largest drivers.</t>
  </si>
  <si>
    <t>Tornado driver</t>
  </si>
  <si>
    <t>Tornado side</t>
  </si>
  <si>
    <t>Two-way: down</t>
  </si>
  <si>
    <t>Two-way: across</t>
  </si>
  <si>
    <t>Churn curve</t>
  </si>
  <si>
    <t>Cap curve</t>
  </si>
  <si>
    <t>Tornado: three-year revenue change of C (base case) with each driver at its low and high end</t>
  </si>
  <si>
    <t>Low value</t>
  </si>
  <si>
    <t>High value</t>
  </si>
  <si>
    <t>Swing</t>
  </si>
  <si>
    <t>Rank</t>
  </si>
  <si>
    <t>Churn per point above what customers absorb</t>
  </si>
  <si>
    <t>Increase customers absorb</t>
  </si>
  <si>
    <t>Marketing users taking view-only seats</t>
  </si>
  <si>
    <t>Below-minimum customers cutting seats each renewal</t>
  </si>
  <si>
    <t>Revenue per customer outside the segments</t>
  </si>
  <si>
    <t>Customers below the old minimums</t>
  </si>
  <si>
    <t>Customers above the new seat allowance</t>
  </si>
  <si>
    <t>Largest driver (key)</t>
  </si>
  <si>
    <t>upScale</t>
  </si>
  <si>
    <t>Second (key)</t>
  </si>
  <si>
    <t>belowScale</t>
  </si>
  <si>
    <t>Two-way: three-year revenue change of C, by upScale (down) and belowScale (across), base case</t>
  </si>
  <si>
    <t>Two-way: C minus B, three years, by upScale (down) and belowScale (across), base case</t>
  </si>
  <si>
    <t>Smallest C − B</t>
  </si>
  <si>
    <t>Churn curve: C against B and A, three years, base case, by churn per point above what customers absorb</t>
  </si>
  <si>
    <t>k</t>
  </si>
  <si>
    <t>Crossing</t>
  </si>
  <si>
    <t>Break-even churn per point (C stops beating B)</t>
  </si>
  <si>
    <t>Extra churn in one step of C at break-even (the stop trigger)</t>
  </si>
  <si>
    <t>Cap curve: three-year revenue change of C, base case, by the largest step per renewal</t>
  </si>
  <si>
    <t>Cap</t>
  </si>
  <si>
    <t>Best cap</t>
  </si>
  <si>
    <t>Three years at the best cap</t>
  </si>
  <si>
    <t>Lookback</t>
  </si>
  <si>
    <t>What HubSpot reported after the change, as first reported in each 10-K and 10-Q. Not used by the Model.</t>
  </si>
  <si>
    <t>Year</t>
  </si>
  <si>
    <t>Revenue per customer</t>
  </si>
  <si>
    <t>Net revenue retention</t>
  </si>
  <si>
    <t>Subscription revenue</t>
  </si>
  <si>
    <t>10-K accession</t>
  </si>
  <si>
    <t>0000950170-25-018873</t>
  </si>
  <si>
    <t>0001193125-26-046646</t>
  </si>
  <si>
    <t>The FY2025 10-K (0001193125-26-046646) restates 2023 and 2024 on a new method: “We reported Net Revenue Retention of 102.2% in 2024 and 103.9% in 2023 under the previous methodology.”</t>
  </si>
  <si>
    <t>Quarter ended</t>
  </si>
  <si>
    <t>Same quarter a year earlier</t>
  </si>
  <si>
    <t>Change</t>
  </si>
  <si>
    <t>10-Q accession</t>
  </si>
  <si>
    <t>What the 10-Q says moved it</t>
  </si>
  <si>
    <t>2024-03-31</t>
  </si>
  <si>
    <t>0000950170-24-057772</t>
  </si>
  <si>
    <t>The increase in Average Subscription Revenue per Customer was primarily driven by a continued demand for our Professional and Enterprise products, as well as the addition of customers from the acquisition of Clearbit, offset by continued purchases of our lower-priced Starter products.</t>
  </si>
  <si>
    <t>2024-06-30</t>
  </si>
  <si>
    <t>0000950170-24-092843</t>
  </si>
  <si>
    <t>The decrease in Average Subscription Revenue per Customer was primarily driven by continued purchases of our lower-priced Starter products and the impact of our new seats pricing model, offset by a continued demand for our Professional and Enterprise products, as well as the addition of customers from the acquisition of Clearbit.</t>
  </si>
  <si>
    <t>2024-09-30</t>
  </si>
  <si>
    <t>0000950170-24-122373</t>
  </si>
  <si>
    <t>2025-03-31</t>
  </si>
  <si>
    <t>0000950170-25-067055</t>
  </si>
  <si>
    <t>The decrease in Average Subscription Revenue per Customer was primarily driven by continued purchases of our lower-priced Starter products and the impact of foreign currency translation primarily attributable to the increase in the value of the U.S. Dollar relative to the Euro and British Pound Sterling, offset by increased demand for our Professional and Enterprise products.</t>
  </si>
  <si>
    <t>2025-06-30</t>
  </si>
  <si>
    <t>0000950170-25-104104</t>
  </si>
  <si>
    <t>The increase in Average Subscription Revenue per Customer was primarily driven by increased demand for our Professional and Enterprise products and the impact of foreign currency translation primarily attributable to the decrease in the value of the U.S. Dollar relative to the Euro and British Pound Sterling, offset by continued purchases of our lower-priced Starter products.</t>
  </si>
  <si>
    <t>2025-09-30</t>
  </si>
  <si>
    <t>0001193125-25-267056</t>
  </si>
  <si>
    <t>2026-03-31</t>
  </si>
  <si>
    <t>0001193125-26-212122</t>
  </si>
  <si>
    <t>The increase in Average Subscription Revenue per Customer was primarily driven by increased demand for our Professional and Enterprise products and the impact of foreign currency translation primarily attributable to the decrease in the value of the U.S. Dollar relative to the Euro and British Pound Sterling, partially offset by continued purchases of our lower-priced Starter products.</t>
  </si>
  <si>
    <t>2026-06-30</t>
  </si>
  <si>
    <t>0001193125-26-335232</t>
  </si>
  <si>
    <t>The increase in Average Subscription Revenue per Customer was primarily driven by continued adoption of our Professional and Enterprise products and the impact of foreign currency translation primarily attributable to the decrease in the value of the U.S. Dollar relative to the Euro and British Pound Sterling, partially offset by continued purchases of our lower-priced Starter products.</t>
  </si>
  <si>
    <t>Checks</t>
  </si>
  <si>
    <t>Each check is a formula; Status reads OK or FAIL. Cover shows the count.</t>
  </si>
  <si>
    <t>Check</t>
  </si>
  <si>
    <t>Expected</t>
  </si>
  <si>
    <t>Status</t>
  </si>
  <si>
    <t>Segment customers + customers outside = disclosed customers</t>
  </si>
  <si>
    <t>Other subscription revenue of segment customers is not negative</t>
  </si>
  <si>
    <t>Whole run-rate ties: segment bills + outside customers = customers × revenue per customer</t>
  </si>
  <si>
    <t>Sales Pro: old and new price agree at the old minimum (5 users)</t>
  </si>
  <si>
    <t>Sales Enterprise: old and new price agree at the old minimum (10 users)</t>
  </si>
  <si>
    <t>Sales: each additional user cost the same as a new seat</t>
  </si>
  <si>
    <t>A: customers whose price falls are all repriced in year 3</t>
  </si>
  <si>
    <t>A, B, C: three years = year 1 + year 2 + year 3</t>
  </si>
  <si>
    <t>A, B, C: year 3 = rises + falls (unchanged segments add nothing)</t>
  </si>
  <si>
    <t>B: no increase above the announced cap</t>
  </si>
  <si>
    <t>C: increases never pass the new list, and never fall</t>
  </si>
  <si>
    <t>Customers kept stay between 0 and 1 and never rise</t>
  </si>
  <si>
    <t>Cases: the row for the chosen scenario = the live Model</t>
  </si>
  <si>
    <t>Scenario weights add to 1</t>
  </si>
  <si>
    <t>Two-way centre = base case (both drivers at their base value; not applicable while a Set value is typed)</t>
  </si>
  <si>
    <t>Two-way C − B centre = base case C − B (not applicable while a Set value is typed)</t>
  </si>
  <si>
    <t>The two-way drivers are the tornado's two largest</t>
  </si>
  <si>
    <t>The phased plan's cap is the best on the cap curve</t>
  </si>
  <si>
    <t>Churn curve at the base churn = base case C − B (not applicable while a Set value is typed)</t>
  </si>
  <si>
    <t>Data-table input cells are blank at 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</si>
</sst>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Red]\-&quot;$&quot;#,##0"/>
    <numFmt numFmtId="165" formatCode="0.0%"/>
    <numFmt numFmtId="166" formatCode="&quot;$&quot;#,##0.0,,&quot;m&quot;;[Red]\-&quot;$&quot;#,##0.0,,&quot;m&quot;"/>
    <numFmt numFmtId="167" formatCode="0.000"/>
  </numFmts>
  <fonts count="7" x14ac:knownFonts="1">
    <font>
      <sz val="11"/>
      <color theme="1"/>
      <name val="Calibri"/>
      <family val="2"/>
      <scheme val="minor"/>
    </font>
    <font>
      <b/>
      <sz val="14"/>
      <name val="Calibri"/>
    </font>
    <font>
      <i/>
      <sz val="11"/>
      <color rgb="FF4B5563"/>
      <name val="Calibri"/>
    </font>
    <font>
      <b/>
      <sz val="12"/>
      <name val="Calibri"/>
    </font>
    <font>
      <b/>
      <sz val="11"/>
      <color rgb="FFFFFFFF"/>
      <name val="Calibri"/>
    </font>
    <font>
      <sz val="9"/>
      <color rgb="FF6B7280"/>
      <name val="Calibri"/>
    </font>
    <font>
      <b/>
      <sz val="11"/>
      <name val="Calibri"/>
    </font>
  </fonts>
  <fills count="6">
    <fill>
      <patternFill patternType="none"/>
    </fill>
    <fill>
      <patternFill patternType="gray125"/>
    </fill>
    <fill>
      <patternFill patternType="solid">
        <fgColor rgb="FFFFF7D6"/>
      </patternFill>
    </fill>
    <fill>
      <patternFill patternType="solid">
        <fgColor rgb="FF1F2937"/>
      </patternFill>
    </fill>
    <fill>
      <patternFill patternType="solid">
        <fgColor rgb="FFEAF2FF"/>
      </patternFill>
    </fill>
    <fill>
      <patternFill patternType="solid">
        <fgColor rgb="FFEEEEEE"/>
      </patternFill>
    </fill>
  </fills>
  <borders count="1">
    <border>
      <left/>
      <right/>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6" fillId="0" borderId="0" xfId="0" applyFont="1"/>
    <xf numFmtId="0" fontId="4" fillId="3" borderId="0" xfId="0" applyFont="1" applyFill="1" applyAlignment="1">
      <alignment horizontal="center" vertical="center" wrapText="1"/>
    </xf>
    <xf numFmtId="166" fontId="0" fillId="0" borderId="0" xfId="0" applyNumberFormat="1"/>
    <xf numFmtId="3" fontId="0" fillId="0" borderId="0" xfId="0" applyNumberFormat="1"/>
    <xf numFmtId="165" fontId="0" fillId="0" borderId="0" xfId="0" applyNumberFormat="1"/>
    <xf numFmtId="0" fontId="5" fillId="0" borderId="0" xfId="0" applyFont="1"/>
    <xf numFmtId="0" fontId="3" fillId="0" borderId="0" xfId="0" applyFont="1"/>
    <xf numFmtId="0" fontId="0" fillId="2" borderId="0" xfId="0" applyFill="1"/>
    <xf numFmtId="3" fontId="0" fillId="4" borderId="0" xfId="0" applyNumberFormat="1" applyFill="1"/>
    <xf numFmtId="164" fontId="0" fillId="4" borderId="0" xfId="0" applyNumberFormat="1" applyFill="1"/>
    <xf numFmtId="165" fontId="0" fillId="4" borderId="0" xfId="0" applyNumberFormat="1" applyFill="1"/>
    <xf numFmtId="2" fontId="0" fillId="2" borderId="0" xfId="0" applyNumberFormat="1" applyFill="1"/>
    <xf numFmtId="2" fontId="0" fillId="5" borderId="0" xfId="0" applyNumberFormat="1" applyFill="1"/>
    <xf numFmtId="2" fontId="0" fillId="0" borderId="0" xfId="0" applyNumberFormat="1"/>
    <xf numFmtId="165" fontId="0" fillId="2" borderId="0" xfId="0" applyNumberFormat="1" applyFill="1"/>
    <xf numFmtId="165" fontId="0" fillId="5" borderId="0" xfId="0" applyNumberFormat="1" applyFill="1"/>
    <xf numFmtId="164" fontId="0" fillId="2" borderId="0" xfId="0" applyNumberFormat="1" applyFill="1"/>
    <xf numFmtId="164" fontId="0" fillId="5" borderId="0" xfId="0" applyNumberFormat="1" applyFill="1"/>
    <xf numFmtId="164" fontId="0" fillId="0" borderId="0" xfId="0" applyNumberFormat="1"/>
    <xf numFmtId="9" fontId="0" fillId="2" borderId="0" xfId="0" applyNumberFormat="1" applyFill="1"/>
    <xf numFmtId="166" fontId="6" fillId="0" borderId="0" xfId="0" applyNumberFormat="1" applyFont="1"/>
    <xf numFmtId="0" fontId="0" fillId="5" borderId="0" xfId="0" applyFill="1"/>
    <xf numFmtId="2" fontId="6" fillId="0" borderId="0" xfId="0" applyNumberFormat="1" applyFont="1"/>
    <xf numFmtId="167" fontId="0" fillId="0" borderId="0" xfId="0" applyNumberFormat="1"/>
    <xf numFmtId="166" fontId="0" fillId="4" borderId="0" xfId="0" applyNumberFormat="1" applyFill="1"/>
    <xf numFmtId="0" fontId="5" fillId="0" borderId="0" xfId="0" applyFont="1" applyAlignment="1">
      <alignment vertical="top"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20"/>
  <sheetViews>
    <sheetView tabSelected="1" workbookViewId="0"/>
  </sheetViews>
  <sheetFormatPr defaultRowHeight="14.25" x14ac:dyDescent="0.45"/>
  <cols>
    <col min="1" max="1" width="2" customWidth="1"/>
    <col min="2" max="2" width="58" customWidth="1"/>
    <col min="3" max="5" width="18" customWidth="1"/>
  </cols>
  <sheetData>
    <row r="1" spans="2:5" ht="18" x14ac:dyDescent="0.55000000000000004">
      <c r="B1" s="1" t="s">
        <v>0</v>
      </c>
    </row>
    <row r="2" spans="2:5" x14ac:dyDescent="0.45">
      <c r="B2" s="2" t="s">
        <v>1</v>
      </c>
    </row>
    <row r="4" spans="2:5" x14ac:dyDescent="0.45">
      <c r="B4" s="3" t="s">
        <v>2</v>
      </c>
    </row>
    <row r="5" spans="2:5" ht="28.5" x14ac:dyDescent="0.45">
      <c r="B5" s="4"/>
      <c r="C5" s="4" t="s">
        <v>3</v>
      </c>
      <c r="D5" s="4" t="s">
        <v>4</v>
      </c>
      <c r="E5" s="4" t="s">
        <v>5</v>
      </c>
    </row>
    <row r="6" spans="2:5" x14ac:dyDescent="0.45">
      <c r="B6" t="s">
        <v>6</v>
      </c>
      <c r="C6" s="5">
        <f>EvA_Cum</f>
        <v>9600991.0833258089</v>
      </c>
      <c r="D6" s="5">
        <f>EvB_Cum</f>
        <v>22417809.403442249</v>
      </c>
      <c r="E6" s="5">
        <f>EvC_Cum</f>
        <v>65991364.597001396</v>
      </c>
    </row>
    <row r="7" spans="2:5" x14ac:dyDescent="0.45">
      <c r="B7" t="s">
        <v>7</v>
      </c>
      <c r="C7" s="5">
        <f>BearA_Cum</f>
        <v>-34494019.141317561</v>
      </c>
      <c r="D7" s="5">
        <f>BearB_Cum</f>
        <v>-13180313.858765755</v>
      </c>
      <c r="E7" s="5">
        <f>BearC_Cum</f>
        <v>392398.02616404183</v>
      </c>
    </row>
    <row r="8" spans="2:5" x14ac:dyDescent="0.45">
      <c r="B8" t="s">
        <v>8</v>
      </c>
      <c r="C8" s="5">
        <f>BaseA_Cum</f>
        <v>7078102.8124265559</v>
      </c>
      <c r="D8" s="5">
        <f>BaseB_Cum</f>
        <v>24278589.26171435</v>
      </c>
      <c r="E8" s="5">
        <f>BaseC_Cum</f>
        <v>67802209.489511192</v>
      </c>
    </row>
    <row r="9" spans="2:5" x14ac:dyDescent="0.45">
      <c r="B9" t="s">
        <v>9</v>
      </c>
      <c r="C9" s="5">
        <f>BullA_Cum</f>
        <v>58741777.849767685</v>
      </c>
      <c r="D9" s="5">
        <f>BullB_Cum</f>
        <v>54294372.94910606</v>
      </c>
      <c r="E9" s="5">
        <f>BullC_Cum</f>
        <v>127968641.38281915</v>
      </c>
    </row>
    <row r="10" spans="2:5" x14ac:dyDescent="0.45">
      <c r="B10" t="s">
        <v>10</v>
      </c>
      <c r="C10" s="5">
        <f>EvA_Y3</f>
        <v>3200330.3611086034</v>
      </c>
      <c r="D10" s="5">
        <f>EvB_Y3</f>
        <v>411521.76275199931</v>
      </c>
      <c r="E10" s="5">
        <f>EvC_Y3</f>
        <v>19053212.609438777</v>
      </c>
    </row>
    <row r="11" spans="2:5" x14ac:dyDescent="0.45">
      <c r="B11" t="s">
        <v>11</v>
      </c>
      <c r="C11" s="6">
        <f>BaseA_Lost</f>
        <v>380.55896740455546</v>
      </c>
      <c r="D11" s="6">
        <f>BaseB_Lost</f>
        <v>0</v>
      </c>
      <c r="E11" s="6">
        <f>BaseC_Lost</f>
        <v>194.83645000000016</v>
      </c>
    </row>
    <row r="13" spans="2:5" x14ac:dyDescent="0.45">
      <c r="B13" t="s">
        <v>12</v>
      </c>
      <c r="C13" s="7">
        <f>Trigger</f>
        <v>7.3026228472034202E-2</v>
      </c>
    </row>
    <row r="14" spans="2:5" x14ac:dyDescent="0.45">
      <c r="B14" t="s">
        <v>13</v>
      </c>
      <c r="C14" t="str">
        <f>CheckStatus</f>
        <v>All 20 checks OK</v>
      </c>
    </row>
    <row r="16" spans="2:5" x14ac:dyDescent="0.45">
      <c r="B16" s="3" t="s">
        <v>14</v>
      </c>
    </row>
    <row r="17" spans="2:2" x14ac:dyDescent="0.45">
      <c r="B17" s="8" t="s">
        <v>15</v>
      </c>
    </row>
    <row r="18" spans="2:2" x14ac:dyDescent="0.45">
      <c r="B18" s="8" t="s">
        <v>16</v>
      </c>
    </row>
    <row r="19" spans="2:2" x14ac:dyDescent="0.45">
      <c r="B19" s="8" t="s">
        <v>17</v>
      </c>
    </row>
    <row r="20" spans="2:2" x14ac:dyDescent="0.45">
      <c r="B20" s="8" t="s">
        <v>18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63"/>
  <sheetViews>
    <sheetView workbookViewId="0"/>
  </sheetViews>
  <sheetFormatPr defaultRowHeight="14.25" x14ac:dyDescent="0.45"/>
  <cols>
    <col min="1" max="1" width="2" customWidth="1"/>
    <col min="2" max="2" width="52" customWidth="1"/>
    <col min="3" max="7" width="12" customWidth="1"/>
    <col min="8" max="8" width="10" customWidth="1"/>
    <col min="9" max="9" width="12" customWidth="1"/>
    <col min="10" max="10" width="90" customWidth="1"/>
  </cols>
  <sheetData>
    <row r="1" spans="2:10" ht="18" x14ac:dyDescent="0.55000000000000004">
      <c r="B1" s="1" t="s">
        <v>19</v>
      </c>
    </row>
    <row r="2" spans="2:10" x14ac:dyDescent="0.45">
      <c r="B2" s="2" t="s">
        <v>20</v>
      </c>
    </row>
    <row r="4" spans="2:10" ht="15.75" x14ac:dyDescent="0.5">
      <c r="B4" s="9" t="s">
        <v>21</v>
      </c>
    </row>
    <row r="5" spans="2:10" x14ac:dyDescent="0.45">
      <c r="B5" t="s">
        <v>22</v>
      </c>
      <c r="C5" s="10">
        <v>2</v>
      </c>
    </row>
    <row r="6" spans="2:10" x14ac:dyDescent="0.45">
      <c r="B6" t="s">
        <v>23</v>
      </c>
      <c r="C6">
        <f>IF(N(Cases!$C$4)&gt;0,Cases!$C$4,IF(SensOn,2,ScenarioSel))</f>
        <v>2</v>
      </c>
    </row>
    <row r="7" spans="2:10" x14ac:dyDescent="0.45">
      <c r="B7" t="s">
        <v>24</v>
      </c>
      <c r="C7" t="b">
        <f>OR(N(TornPick)&gt;0,S2Down&lt;&gt;"",S2Across&lt;&gt;"",KCurve&lt;&gt;"",CapCurve&lt;&gt;"")</f>
        <v>0</v>
      </c>
    </row>
    <row r="8" spans="2:10" x14ac:dyDescent="0.45">
      <c r="B8" t="s">
        <v>25</v>
      </c>
      <c r="C8" t="b">
        <f>COUNT(H36:H44)&gt;0</f>
        <v>0</v>
      </c>
    </row>
    <row r="9" spans="2:10" ht="15.75" x14ac:dyDescent="0.5">
      <c r="B9" s="9" t="s">
        <v>26</v>
      </c>
    </row>
    <row r="10" spans="2:10" x14ac:dyDescent="0.45">
      <c r="B10" s="4" t="s">
        <v>27</v>
      </c>
      <c r="C10" s="4" t="s">
        <v>28</v>
      </c>
      <c r="D10" s="4" t="s">
        <v>29</v>
      </c>
      <c r="E10" s="4" t="s">
        <v>30</v>
      </c>
      <c r="F10" s="4" t="s">
        <v>31</v>
      </c>
      <c r="G10" s="4"/>
      <c r="H10" s="4"/>
      <c r="I10" s="4"/>
      <c r="J10" s="4" t="s">
        <v>32</v>
      </c>
    </row>
    <row r="11" spans="2:10" x14ac:dyDescent="0.45">
      <c r="B11" t="s">
        <v>33</v>
      </c>
      <c r="C11" s="11">
        <v>205091</v>
      </c>
      <c r="D11" t="s">
        <v>34</v>
      </c>
      <c r="E11" t="s">
        <v>35</v>
      </c>
      <c r="F11" t="s">
        <v>36</v>
      </c>
      <c r="J11" s="8" t="s">
        <v>37</v>
      </c>
    </row>
    <row r="12" spans="2:10" x14ac:dyDescent="0.45">
      <c r="B12" t="s">
        <v>38</v>
      </c>
      <c r="C12" s="12">
        <v>11384</v>
      </c>
      <c r="D12" t="s">
        <v>39</v>
      </c>
      <c r="E12" t="s">
        <v>35</v>
      </c>
      <c r="F12" t="s">
        <v>36</v>
      </c>
      <c r="J12" s="8" t="s">
        <v>40</v>
      </c>
    </row>
    <row r="13" spans="2:10" x14ac:dyDescent="0.45">
      <c r="B13" t="s">
        <v>41</v>
      </c>
      <c r="C13" s="13">
        <v>1.0389999999999999</v>
      </c>
      <c r="D13" t="s">
        <v>42</v>
      </c>
      <c r="E13" t="s">
        <v>35</v>
      </c>
      <c r="F13" t="s">
        <v>36</v>
      </c>
      <c r="J13" s="8" t="s">
        <v>43</v>
      </c>
    </row>
    <row r="14" spans="2:10" x14ac:dyDescent="0.45">
      <c r="B14" t="s">
        <v>44</v>
      </c>
      <c r="C14" s="12">
        <v>2123479000</v>
      </c>
      <c r="D14" t="s">
        <v>39</v>
      </c>
      <c r="E14" t="s">
        <v>35</v>
      </c>
      <c r="F14" t="s">
        <v>36</v>
      </c>
      <c r="J14" s="8" t="s">
        <v>45</v>
      </c>
    </row>
    <row r="16" spans="2:10" ht="15.75" x14ac:dyDescent="0.5">
      <c r="B16" s="9" t="s">
        <v>46</v>
      </c>
    </row>
    <row r="17" spans="2:10" x14ac:dyDescent="0.45">
      <c r="B17" s="4" t="s">
        <v>47</v>
      </c>
      <c r="C17" s="4" t="s">
        <v>28</v>
      </c>
      <c r="D17" s="4" t="s">
        <v>29</v>
      </c>
      <c r="E17" s="4" t="s">
        <v>48</v>
      </c>
      <c r="F17" s="4"/>
      <c r="G17" s="4"/>
      <c r="H17" s="4"/>
      <c r="I17" s="4"/>
      <c r="J17" s="4" t="s">
        <v>49</v>
      </c>
    </row>
    <row r="18" spans="2:10" x14ac:dyDescent="0.45">
      <c r="B18" t="s">
        <v>50</v>
      </c>
      <c r="C18" s="12">
        <v>450</v>
      </c>
      <c r="D18" t="s">
        <v>51</v>
      </c>
      <c r="E18" t="s">
        <v>52</v>
      </c>
      <c r="J18" s="8" t="s">
        <v>53</v>
      </c>
    </row>
    <row r="19" spans="2:10" x14ac:dyDescent="0.45">
      <c r="B19" t="s">
        <v>54</v>
      </c>
      <c r="C19" s="11">
        <v>5</v>
      </c>
      <c r="D19" t="s">
        <v>55</v>
      </c>
      <c r="E19" t="s">
        <v>52</v>
      </c>
      <c r="J19" s="8" t="s">
        <v>56</v>
      </c>
    </row>
    <row r="20" spans="2:10" x14ac:dyDescent="0.45">
      <c r="B20" t="s">
        <v>57</v>
      </c>
      <c r="C20" s="12">
        <v>90</v>
      </c>
      <c r="D20" t="s">
        <v>51</v>
      </c>
      <c r="E20" t="s">
        <v>52</v>
      </c>
      <c r="J20" s="8" t="s">
        <v>58</v>
      </c>
    </row>
    <row r="21" spans="2:10" x14ac:dyDescent="0.45">
      <c r="B21" t="s">
        <v>59</v>
      </c>
      <c r="C21" s="12">
        <v>1500</v>
      </c>
      <c r="D21" t="s">
        <v>51</v>
      </c>
      <c r="E21" t="s">
        <v>52</v>
      </c>
      <c r="J21" s="8" t="s">
        <v>60</v>
      </c>
    </row>
    <row r="22" spans="2:10" x14ac:dyDescent="0.45">
      <c r="B22" t="s">
        <v>61</v>
      </c>
      <c r="C22" s="11">
        <v>10</v>
      </c>
      <c r="D22" t="s">
        <v>55</v>
      </c>
      <c r="E22" t="s">
        <v>52</v>
      </c>
      <c r="J22" s="8" t="s">
        <v>62</v>
      </c>
    </row>
    <row r="23" spans="2:10" x14ac:dyDescent="0.45">
      <c r="B23" t="s">
        <v>63</v>
      </c>
      <c r="C23" s="12">
        <v>150</v>
      </c>
      <c r="D23" t="s">
        <v>51</v>
      </c>
      <c r="E23" t="s">
        <v>52</v>
      </c>
      <c r="J23" s="8" t="s">
        <v>64</v>
      </c>
    </row>
    <row r="24" spans="2:10" x14ac:dyDescent="0.45">
      <c r="B24" t="s">
        <v>65</v>
      </c>
      <c r="C24" s="12">
        <v>90</v>
      </c>
      <c r="D24" t="s">
        <v>51</v>
      </c>
      <c r="E24" t="s">
        <v>66</v>
      </c>
      <c r="J24" s="8" t="s">
        <v>67</v>
      </c>
    </row>
    <row r="25" spans="2:10" x14ac:dyDescent="0.45">
      <c r="B25" t="s">
        <v>68</v>
      </c>
      <c r="C25" s="12">
        <v>150</v>
      </c>
      <c r="D25" t="s">
        <v>51</v>
      </c>
      <c r="E25" t="s">
        <v>66</v>
      </c>
      <c r="J25" s="8" t="s">
        <v>69</v>
      </c>
    </row>
    <row r="26" spans="2:10" x14ac:dyDescent="0.45">
      <c r="B26" t="s">
        <v>70</v>
      </c>
      <c r="C26" s="12">
        <v>800</v>
      </c>
      <c r="D26" t="s">
        <v>51</v>
      </c>
      <c r="E26" t="s">
        <v>71</v>
      </c>
      <c r="J26" s="8" t="s">
        <v>72</v>
      </c>
    </row>
    <row r="27" spans="2:10" x14ac:dyDescent="0.45">
      <c r="B27" t="s">
        <v>73</v>
      </c>
      <c r="C27" s="11">
        <v>3</v>
      </c>
      <c r="D27" t="s">
        <v>74</v>
      </c>
      <c r="E27" t="s">
        <v>71</v>
      </c>
      <c r="J27" s="8" t="s">
        <v>75</v>
      </c>
    </row>
    <row r="28" spans="2:10" x14ac:dyDescent="0.45">
      <c r="B28" t="s">
        <v>76</v>
      </c>
      <c r="C28" s="12">
        <v>45</v>
      </c>
      <c r="D28" t="s">
        <v>51</v>
      </c>
      <c r="E28" t="s">
        <v>71</v>
      </c>
      <c r="J28" s="8" t="s">
        <v>77</v>
      </c>
    </row>
    <row r="29" spans="2:10" x14ac:dyDescent="0.45">
      <c r="B29" t="s">
        <v>78</v>
      </c>
      <c r="C29" s="12">
        <v>3600</v>
      </c>
      <c r="D29" t="s">
        <v>51</v>
      </c>
      <c r="E29" t="s">
        <v>71</v>
      </c>
      <c r="J29" s="8" t="s">
        <v>79</v>
      </c>
    </row>
    <row r="30" spans="2:10" x14ac:dyDescent="0.45">
      <c r="B30" t="s">
        <v>80</v>
      </c>
      <c r="C30" s="11">
        <v>5</v>
      </c>
      <c r="D30" t="s">
        <v>74</v>
      </c>
      <c r="E30" t="s">
        <v>71</v>
      </c>
      <c r="J30" s="8" t="s">
        <v>81</v>
      </c>
    </row>
    <row r="31" spans="2:10" x14ac:dyDescent="0.45">
      <c r="B31" t="s">
        <v>82</v>
      </c>
      <c r="C31" s="12">
        <v>75</v>
      </c>
      <c r="D31" t="s">
        <v>51</v>
      </c>
      <c r="E31" t="s">
        <v>71</v>
      </c>
      <c r="J31" s="8" t="s">
        <v>83</v>
      </c>
    </row>
    <row r="32" spans="2:10" x14ac:dyDescent="0.45">
      <c r="B32" t="s">
        <v>84</v>
      </c>
      <c r="C32" s="13">
        <v>0.05</v>
      </c>
      <c r="D32" t="s">
        <v>42</v>
      </c>
      <c r="E32" t="s">
        <v>85</v>
      </c>
      <c r="J32" s="8" t="s">
        <v>86</v>
      </c>
    </row>
    <row r="34" spans="2:10" ht="15.75" x14ac:dyDescent="0.5">
      <c r="B34" s="9" t="s">
        <v>87</v>
      </c>
    </row>
    <row r="35" spans="2:10" x14ac:dyDescent="0.45">
      <c r="B35" s="4" t="s">
        <v>88</v>
      </c>
      <c r="C35" s="4" t="s">
        <v>89</v>
      </c>
      <c r="D35" s="4" t="s">
        <v>90</v>
      </c>
      <c r="E35" s="4" t="s">
        <v>91</v>
      </c>
      <c r="F35" s="4" t="s">
        <v>92</v>
      </c>
      <c r="G35" s="4" t="s">
        <v>93</v>
      </c>
      <c r="H35" s="4" t="s">
        <v>94</v>
      </c>
      <c r="I35" s="4" t="s">
        <v>95</v>
      </c>
      <c r="J35" s="4" t="s">
        <v>96</v>
      </c>
    </row>
    <row r="36" spans="2:10" x14ac:dyDescent="0.45">
      <c r="B36" t="s">
        <v>97</v>
      </c>
      <c r="C36" s="14">
        <v>0.8</v>
      </c>
      <c r="D36" s="14">
        <v>0.5</v>
      </c>
      <c r="E36" s="14">
        <v>0.25</v>
      </c>
      <c r="F36" s="14">
        <v>0.25</v>
      </c>
      <c r="G36" s="14">
        <v>0.8</v>
      </c>
      <c r="H36" s="15"/>
      <c r="I36" s="16">
        <f>IF(KCurve&lt;&gt;"",KCurve,IF(N(TornPick)=1,IF(TornSide=1,F36,G36),IF(AND(H36&lt;&gt;"",NOT(SensOn)),H36,CHOOSE(ScenEff,C36,D36,E36))))</f>
        <v>0.5</v>
      </c>
      <c r="J36" s="8" t="s">
        <v>98</v>
      </c>
    </row>
    <row r="37" spans="2:10" x14ac:dyDescent="0.45">
      <c r="B37" t="s">
        <v>99</v>
      </c>
      <c r="C37" s="17">
        <v>0.45</v>
      </c>
      <c r="D37" s="17">
        <v>0.3</v>
      </c>
      <c r="E37" s="17">
        <v>0.15</v>
      </c>
      <c r="F37" s="17">
        <v>0.15</v>
      </c>
      <c r="G37" s="17">
        <v>0.45</v>
      </c>
      <c r="H37" s="18"/>
      <c r="I37" s="7">
        <f>IF(N(TornPick)=3,IF(TornSide=1,F37,G37),IF(AND(H37&lt;&gt;"",NOT(SensOn)),H37,CHOOSE(ScenEff,C37,D37,E37)))</f>
        <v>0.3</v>
      </c>
      <c r="J37" s="8" t="s">
        <v>100</v>
      </c>
    </row>
    <row r="38" spans="2:10" x14ac:dyDescent="0.45">
      <c r="B38" t="s">
        <v>101</v>
      </c>
      <c r="C38" s="17">
        <v>0.6</v>
      </c>
      <c r="D38" s="17">
        <v>0.4</v>
      </c>
      <c r="E38" s="17">
        <v>0.25</v>
      </c>
      <c r="F38" s="17">
        <v>0.25</v>
      </c>
      <c r="G38" s="17">
        <v>0.6</v>
      </c>
      <c r="H38" s="18"/>
      <c r="I38" s="7">
        <f>IF(N(TornPick)=4,IF(TornSide=1,F38,G38),IF(AND(H38&lt;&gt;"",NOT(SensOn)),H38,CHOOSE(ScenEff,C38,D38,E38)))</f>
        <v>0.4</v>
      </c>
      <c r="J38" s="8" t="s">
        <v>102</v>
      </c>
    </row>
    <row r="39" spans="2:10" x14ac:dyDescent="0.45">
      <c r="B39" t="s">
        <v>103</v>
      </c>
      <c r="C39" s="17">
        <v>0.05</v>
      </c>
      <c r="D39" s="17">
        <v>0.05</v>
      </c>
      <c r="E39" s="17">
        <v>0.05</v>
      </c>
      <c r="F39" s="17">
        <v>0.03</v>
      </c>
      <c r="G39" s="17">
        <v>0.08</v>
      </c>
      <c r="H39" s="18"/>
      <c r="I39" s="7">
        <f>IF(N(TornPick)=2,IF(TornSide=1,F39,G39),IF(AND(H39&lt;&gt;"",NOT(SensOn)),H39,CHOOSE(ScenEff,C39,D39,E39)))</f>
        <v>0.05</v>
      </c>
      <c r="J39" s="8" t="s">
        <v>104</v>
      </c>
    </row>
    <row r="40" spans="2:10" x14ac:dyDescent="0.45">
      <c r="B40" t="s">
        <v>105</v>
      </c>
      <c r="C40" s="17">
        <v>0.1</v>
      </c>
      <c r="D40" s="17">
        <v>0.1</v>
      </c>
      <c r="E40" s="17">
        <v>0.1</v>
      </c>
      <c r="H40" s="18"/>
      <c r="I40" s="7">
        <f>IF(CapCurve&lt;&gt;"",CapCurve,IF(AND(H40&lt;&gt;"",NOT(SensOn)),H40,CHOOSE(ScenEff,C40,D40,E40)))</f>
        <v>0.1</v>
      </c>
      <c r="J40" s="8" t="s">
        <v>106</v>
      </c>
    </row>
    <row r="41" spans="2:10" x14ac:dyDescent="0.45">
      <c r="B41" t="s">
        <v>107</v>
      </c>
      <c r="C41" s="17">
        <v>0.85</v>
      </c>
      <c r="D41" s="17">
        <v>0.85</v>
      </c>
      <c r="E41" s="17">
        <v>0.85</v>
      </c>
      <c r="F41" s="17">
        <v>0.75</v>
      </c>
      <c r="G41" s="17">
        <v>0.95</v>
      </c>
      <c r="H41" s="18"/>
      <c r="I41" s="7">
        <f>IF(N(TornPick)=5,IF(TornSide=1,F41,G41),IF(AND(H41&lt;&gt;"",NOT(SensOn)),H41,CHOOSE(ScenEff,C41,D41,E41)))</f>
        <v>0.85</v>
      </c>
      <c r="J41" s="8" t="s">
        <v>108</v>
      </c>
    </row>
    <row r="42" spans="2:10" x14ac:dyDescent="0.45">
      <c r="B42" t="s">
        <v>109</v>
      </c>
      <c r="C42" s="19">
        <v>3000</v>
      </c>
      <c r="D42" s="19">
        <v>3000</v>
      </c>
      <c r="E42" s="19">
        <v>3000</v>
      </c>
      <c r="F42" s="19">
        <v>1500</v>
      </c>
      <c r="G42" s="19">
        <v>4500</v>
      </c>
      <c r="H42" s="20"/>
      <c r="I42" s="21">
        <f>IF(N(TornPick)=6,IF(TornSide=1,F42,G42),IF(AND(H42&lt;&gt;"",NOT(SensOn)),H42,CHOOSE(ScenEff,C42,D42,E42)))</f>
        <v>3000</v>
      </c>
      <c r="J42" s="8" t="s">
        <v>110</v>
      </c>
    </row>
    <row r="43" spans="2:10" x14ac:dyDescent="0.45">
      <c r="B43" t="s">
        <v>111</v>
      </c>
      <c r="C43" s="14">
        <v>1</v>
      </c>
      <c r="D43" s="14">
        <v>1</v>
      </c>
      <c r="E43" s="14">
        <v>1</v>
      </c>
      <c r="F43" s="14">
        <v>0.5</v>
      </c>
      <c r="G43" s="14">
        <v>1.5</v>
      </c>
      <c r="H43" s="15"/>
      <c r="I43" s="16">
        <f>IF(S2Across&lt;&gt;"",S2Across,IF(N(TornPick)=7,IF(TornSide=1,F43,G43),IF(AND(H43&lt;&gt;"",NOT(SensOn)),H43,CHOOSE(ScenEff,C43,D43,E43))))</f>
        <v>1</v>
      </c>
      <c r="J43" s="8" t="s">
        <v>112</v>
      </c>
    </row>
    <row r="44" spans="2:10" x14ac:dyDescent="0.45">
      <c r="B44" t="s">
        <v>113</v>
      </c>
      <c r="C44" s="14">
        <v>1</v>
      </c>
      <c r="D44" s="14">
        <v>1</v>
      </c>
      <c r="E44" s="14">
        <v>1</v>
      </c>
      <c r="F44" s="14">
        <v>0.5</v>
      </c>
      <c r="G44" s="14">
        <v>1.5</v>
      </c>
      <c r="H44" s="15"/>
      <c r="I44" s="16">
        <f>IF(S2Down&lt;&gt;"",S2Down,IF(N(TornPick)=8,IF(TornSide=1,F44,G44),IF(AND(H44&lt;&gt;"",NOT(SensOn)),H44,CHOOSE(ScenEff,C44,D44,E44))))</f>
        <v>1</v>
      </c>
      <c r="J44" s="8" t="s">
        <v>114</v>
      </c>
    </row>
    <row r="46" spans="2:10" ht="15.75" x14ac:dyDescent="0.5">
      <c r="B46" s="9" t="s">
        <v>115</v>
      </c>
    </row>
    <row r="47" spans="2:10" x14ac:dyDescent="0.45">
      <c r="B47" t="s">
        <v>116</v>
      </c>
      <c r="C47" s="22">
        <v>0.25</v>
      </c>
    </row>
    <row r="48" spans="2:10" x14ac:dyDescent="0.45">
      <c r="B48" t="s">
        <v>117</v>
      </c>
      <c r="C48" s="22">
        <v>0.5</v>
      </c>
    </row>
    <row r="49" spans="2:10" x14ac:dyDescent="0.45">
      <c r="B49" t="s">
        <v>118</v>
      </c>
      <c r="C49" s="22">
        <v>0.25</v>
      </c>
    </row>
    <row r="51" spans="2:10" ht="15.75" x14ac:dyDescent="0.5">
      <c r="B51" s="9" t="s">
        <v>119</v>
      </c>
    </row>
    <row r="52" spans="2:10" ht="28.5" x14ac:dyDescent="0.45">
      <c r="B52" s="4" t="s">
        <v>120</v>
      </c>
      <c r="C52" s="4" t="s">
        <v>121</v>
      </c>
      <c r="D52" s="4" t="s">
        <v>122</v>
      </c>
      <c r="E52" s="4" t="s">
        <v>123</v>
      </c>
      <c r="F52" s="4" t="s">
        <v>124</v>
      </c>
      <c r="G52" s="4" t="s">
        <v>125</v>
      </c>
      <c r="H52" s="4" t="s">
        <v>126</v>
      </c>
      <c r="I52" s="4" t="s">
        <v>127</v>
      </c>
      <c r="J52" s="4" t="s">
        <v>128</v>
      </c>
    </row>
    <row r="53" spans="2:10" x14ac:dyDescent="0.45">
      <c r="B53" t="s">
        <v>129</v>
      </c>
      <c r="C53" t="s">
        <v>130</v>
      </c>
      <c r="D53" t="s">
        <v>131</v>
      </c>
      <c r="E53" s="10">
        <v>2</v>
      </c>
      <c r="F53" s="17">
        <v>0.05</v>
      </c>
      <c r="G53">
        <f t="shared" ref="G53:G63" si="0">IF(C53="Sales Hub",IF(D53="Professional",P_sp_inc,P_se_inc),IF(D53="Professional",P_mp_inc,P_me_inc))</f>
        <v>5</v>
      </c>
      <c r="H53" s="16">
        <f t="shared" ref="H53:H63" si="1">IF(AND(C53="Sales Hub",E53&lt;G53),D_belowScale,IF(AND(C53="Marketing Hub",E53&gt;G53),D_upScale,1))</f>
        <v>1</v>
      </c>
      <c r="I53" s="6">
        <f t="shared" ref="I53:I63" si="2">F_cust*F53*H53</f>
        <v>10254.550000000001</v>
      </c>
      <c r="J53" s="28" t="s">
        <v>132</v>
      </c>
    </row>
    <row r="54" spans="2:10" x14ac:dyDescent="0.45">
      <c r="B54" t="s">
        <v>133</v>
      </c>
      <c r="C54" t="s">
        <v>130</v>
      </c>
      <c r="D54" t="s">
        <v>131</v>
      </c>
      <c r="E54" s="10">
        <v>4</v>
      </c>
      <c r="F54" s="17">
        <v>0.04</v>
      </c>
      <c r="G54">
        <f t="shared" si="0"/>
        <v>5</v>
      </c>
      <c r="H54" s="16">
        <f t="shared" si="1"/>
        <v>1</v>
      </c>
      <c r="I54" s="6">
        <f t="shared" si="2"/>
        <v>8203.64</v>
      </c>
      <c r="J54" s="29"/>
    </row>
    <row r="55" spans="2:10" x14ac:dyDescent="0.45">
      <c r="B55" t="s">
        <v>134</v>
      </c>
      <c r="C55" t="s">
        <v>130</v>
      </c>
      <c r="D55" t="s">
        <v>131</v>
      </c>
      <c r="E55" s="10">
        <v>10</v>
      </c>
      <c r="F55" s="17">
        <v>0.05</v>
      </c>
      <c r="G55">
        <f t="shared" si="0"/>
        <v>5</v>
      </c>
      <c r="H55" s="16">
        <f t="shared" si="1"/>
        <v>1</v>
      </c>
      <c r="I55" s="6">
        <f t="shared" si="2"/>
        <v>10254.550000000001</v>
      </c>
      <c r="J55" s="29"/>
    </row>
    <row r="56" spans="2:10" x14ac:dyDescent="0.45">
      <c r="B56" t="s">
        <v>135</v>
      </c>
      <c r="C56" t="s">
        <v>130</v>
      </c>
      <c r="D56" t="s">
        <v>136</v>
      </c>
      <c r="E56" s="10">
        <v>6</v>
      </c>
      <c r="F56" s="17">
        <v>6.0000000000000001E-3</v>
      </c>
      <c r="G56">
        <f t="shared" si="0"/>
        <v>10</v>
      </c>
      <c r="H56" s="16">
        <f t="shared" si="1"/>
        <v>1</v>
      </c>
      <c r="I56" s="6">
        <f t="shared" si="2"/>
        <v>1230.546</v>
      </c>
      <c r="J56" s="29"/>
    </row>
    <row r="57" spans="2:10" x14ac:dyDescent="0.45">
      <c r="B57" t="s">
        <v>137</v>
      </c>
      <c r="C57" t="s">
        <v>130</v>
      </c>
      <c r="D57" t="s">
        <v>136</v>
      </c>
      <c r="E57" s="10">
        <v>30</v>
      </c>
      <c r="F57" s="17">
        <v>1.4E-2</v>
      </c>
      <c r="G57">
        <f t="shared" si="0"/>
        <v>10</v>
      </c>
      <c r="H57" s="16">
        <f t="shared" si="1"/>
        <v>1</v>
      </c>
      <c r="I57" s="6">
        <f t="shared" si="2"/>
        <v>2871.2739999999999</v>
      </c>
      <c r="J57" s="29"/>
    </row>
    <row r="58" spans="2:10" x14ac:dyDescent="0.45">
      <c r="B58" t="s">
        <v>138</v>
      </c>
      <c r="C58" t="s">
        <v>139</v>
      </c>
      <c r="D58" t="s">
        <v>131</v>
      </c>
      <c r="E58" s="10">
        <v>3</v>
      </c>
      <c r="F58" s="17">
        <v>7.0000000000000007E-2</v>
      </c>
      <c r="G58">
        <f t="shared" si="0"/>
        <v>3</v>
      </c>
      <c r="H58" s="16">
        <f t="shared" si="1"/>
        <v>1</v>
      </c>
      <c r="I58" s="6">
        <f t="shared" si="2"/>
        <v>14356.37</v>
      </c>
      <c r="J58" s="29"/>
    </row>
    <row r="59" spans="2:10" x14ac:dyDescent="0.45">
      <c r="B59" t="s">
        <v>140</v>
      </c>
      <c r="C59" t="s">
        <v>139</v>
      </c>
      <c r="D59" t="s">
        <v>131</v>
      </c>
      <c r="E59" s="10">
        <v>6</v>
      </c>
      <c r="F59" s="17">
        <v>0.06</v>
      </c>
      <c r="G59">
        <f t="shared" si="0"/>
        <v>3</v>
      </c>
      <c r="H59" s="16">
        <f t="shared" si="1"/>
        <v>1</v>
      </c>
      <c r="I59" s="6">
        <f t="shared" si="2"/>
        <v>12305.46</v>
      </c>
      <c r="J59" s="29"/>
    </row>
    <row r="60" spans="2:10" x14ac:dyDescent="0.45">
      <c r="B60" t="s">
        <v>141</v>
      </c>
      <c r="C60" t="s">
        <v>139</v>
      </c>
      <c r="D60" t="s">
        <v>131</v>
      </c>
      <c r="E60" s="10">
        <v>12</v>
      </c>
      <c r="F60" s="17">
        <v>0.03</v>
      </c>
      <c r="G60">
        <f t="shared" si="0"/>
        <v>3</v>
      </c>
      <c r="H60" s="16">
        <f t="shared" si="1"/>
        <v>1</v>
      </c>
      <c r="I60" s="6">
        <f t="shared" si="2"/>
        <v>6152.73</v>
      </c>
      <c r="J60" s="29"/>
    </row>
    <row r="61" spans="2:10" x14ac:dyDescent="0.45">
      <c r="B61" t="s">
        <v>142</v>
      </c>
      <c r="C61" t="s">
        <v>139</v>
      </c>
      <c r="D61" t="s">
        <v>136</v>
      </c>
      <c r="E61" s="10">
        <v>5</v>
      </c>
      <c r="F61" s="17">
        <v>7.0000000000000001E-3</v>
      </c>
      <c r="G61">
        <f t="shared" si="0"/>
        <v>5</v>
      </c>
      <c r="H61" s="16">
        <f t="shared" si="1"/>
        <v>1</v>
      </c>
      <c r="I61" s="6">
        <f t="shared" si="2"/>
        <v>1435.6369999999999</v>
      </c>
      <c r="J61" s="29"/>
    </row>
    <row r="62" spans="2:10" x14ac:dyDescent="0.45">
      <c r="B62" t="s">
        <v>143</v>
      </c>
      <c r="C62" t="s">
        <v>139</v>
      </c>
      <c r="D62" t="s">
        <v>136</v>
      </c>
      <c r="E62" s="10">
        <v>12</v>
      </c>
      <c r="F62" s="17">
        <v>1.2E-2</v>
      </c>
      <c r="G62">
        <f t="shared" si="0"/>
        <v>5</v>
      </c>
      <c r="H62" s="16">
        <f t="shared" si="1"/>
        <v>1</v>
      </c>
      <c r="I62" s="6">
        <f t="shared" si="2"/>
        <v>2461.0920000000001</v>
      </c>
      <c r="J62" s="29"/>
    </row>
    <row r="63" spans="2:10" x14ac:dyDescent="0.45">
      <c r="B63" t="s">
        <v>144</v>
      </c>
      <c r="C63" t="s">
        <v>139</v>
      </c>
      <c r="D63" t="s">
        <v>136</v>
      </c>
      <c r="E63" s="10">
        <v>30</v>
      </c>
      <c r="F63" s="17">
        <v>8.0000000000000002E-3</v>
      </c>
      <c r="G63">
        <f t="shared" si="0"/>
        <v>5</v>
      </c>
      <c r="H63" s="16">
        <f t="shared" si="1"/>
        <v>1</v>
      </c>
      <c r="I63" s="6">
        <f t="shared" si="2"/>
        <v>1640.7280000000001</v>
      </c>
      <c r="J63" s="29"/>
    </row>
  </sheetData>
  <mergeCells count="1">
    <mergeCell ref="J53:J6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18"/>
  <sheetViews>
    <sheetView workbookViewId="0"/>
  </sheetViews>
  <sheetFormatPr defaultRowHeight="14.25" x14ac:dyDescent="0.45"/>
  <cols>
    <col min="1" max="1" width="2" customWidth="1"/>
    <col min="2" max="10" width="14" customWidth="1"/>
  </cols>
  <sheetData>
    <row r="1" spans="2:10" ht="18" x14ac:dyDescent="0.55000000000000004">
      <c r="B1" s="1" t="s">
        <v>145</v>
      </c>
    </row>
    <row r="2" spans="2:10" x14ac:dyDescent="0.45">
      <c r="B2" s="2" t="s">
        <v>146</v>
      </c>
    </row>
    <row r="4" spans="2:10" ht="28.5" x14ac:dyDescent="0.45">
      <c r="B4" s="4" t="s">
        <v>147</v>
      </c>
      <c r="C4" s="4" t="s">
        <v>148</v>
      </c>
      <c r="D4" s="4" t="s">
        <v>149</v>
      </c>
      <c r="E4" s="4" t="s">
        <v>150</v>
      </c>
      <c r="F4" s="4" t="s">
        <v>151</v>
      </c>
      <c r="G4" s="4" t="s">
        <v>152</v>
      </c>
      <c r="H4" s="4" t="s">
        <v>153</v>
      </c>
      <c r="I4" s="4" t="s">
        <v>154</v>
      </c>
      <c r="J4" s="4" t="s">
        <v>155</v>
      </c>
    </row>
    <row r="5" spans="2:10" x14ac:dyDescent="0.45">
      <c r="B5">
        <v>1</v>
      </c>
      <c r="C5" s="21">
        <f t="shared" ref="C5:C16" si="0">P_sp_base+P_sp_add*MAX(0,B5-P_sp_inc)</f>
        <v>450</v>
      </c>
      <c r="D5" s="21">
        <f t="shared" ref="D5:D16" si="1">P_sp_seat*B5</f>
        <v>90</v>
      </c>
      <c r="E5" s="21">
        <f t="shared" ref="E5:E16" si="2">P_se_base+P_se_add*MAX(0,B5-P_se_inc)</f>
        <v>1500</v>
      </c>
      <c r="F5" s="21">
        <f t="shared" ref="F5:F16" si="3">P_se_seat*B5</f>
        <v>150</v>
      </c>
      <c r="G5" s="21">
        <f t="shared" ref="G5:G16" si="4">P_mp_base</f>
        <v>800</v>
      </c>
      <c r="H5" s="21">
        <f t="shared" ref="H5:H16" si="5">P_mp_base+P_mp_add*MAX(0,B5-P_mp_inc)</f>
        <v>800</v>
      </c>
      <c r="I5" s="21">
        <f t="shared" ref="I5:I16" si="6">P_me_base</f>
        <v>3600</v>
      </c>
      <c r="J5" s="21">
        <f t="shared" ref="J5:J16" si="7">P_me_base+P_me_add*MAX(0,B5-P_me_inc)</f>
        <v>3600</v>
      </c>
    </row>
    <row r="6" spans="2:10" x14ac:dyDescent="0.45">
      <c r="B6">
        <v>2</v>
      </c>
      <c r="C6" s="21">
        <f t="shared" si="0"/>
        <v>450</v>
      </c>
      <c r="D6" s="21">
        <f t="shared" si="1"/>
        <v>180</v>
      </c>
      <c r="E6" s="21">
        <f t="shared" si="2"/>
        <v>1500</v>
      </c>
      <c r="F6" s="21">
        <f t="shared" si="3"/>
        <v>300</v>
      </c>
      <c r="G6" s="21">
        <f t="shared" si="4"/>
        <v>800</v>
      </c>
      <c r="H6" s="21">
        <f t="shared" si="5"/>
        <v>800</v>
      </c>
      <c r="I6" s="21">
        <f t="shared" si="6"/>
        <v>3600</v>
      </c>
      <c r="J6" s="21">
        <f t="shared" si="7"/>
        <v>3600</v>
      </c>
    </row>
    <row r="7" spans="2:10" x14ac:dyDescent="0.45">
      <c r="B7">
        <v>3</v>
      </c>
      <c r="C7" s="21">
        <f t="shared" si="0"/>
        <v>450</v>
      </c>
      <c r="D7" s="21">
        <f t="shared" si="1"/>
        <v>270</v>
      </c>
      <c r="E7" s="21">
        <f t="shared" si="2"/>
        <v>1500</v>
      </c>
      <c r="F7" s="21">
        <f t="shared" si="3"/>
        <v>450</v>
      </c>
      <c r="G7" s="21">
        <f t="shared" si="4"/>
        <v>800</v>
      </c>
      <c r="H7" s="21">
        <f t="shared" si="5"/>
        <v>800</v>
      </c>
      <c r="I7" s="21">
        <f t="shared" si="6"/>
        <v>3600</v>
      </c>
      <c r="J7" s="21">
        <f t="shared" si="7"/>
        <v>3600</v>
      </c>
    </row>
    <row r="8" spans="2:10" x14ac:dyDescent="0.45">
      <c r="B8">
        <v>4</v>
      </c>
      <c r="C8" s="21">
        <f t="shared" si="0"/>
        <v>450</v>
      </c>
      <c r="D8" s="21">
        <f t="shared" si="1"/>
        <v>360</v>
      </c>
      <c r="E8" s="21">
        <f t="shared" si="2"/>
        <v>1500</v>
      </c>
      <c r="F8" s="21">
        <f t="shared" si="3"/>
        <v>600</v>
      </c>
      <c r="G8" s="21">
        <f t="shared" si="4"/>
        <v>800</v>
      </c>
      <c r="H8" s="21">
        <f t="shared" si="5"/>
        <v>845</v>
      </c>
      <c r="I8" s="21">
        <f t="shared" si="6"/>
        <v>3600</v>
      </c>
      <c r="J8" s="21">
        <f t="shared" si="7"/>
        <v>3600</v>
      </c>
    </row>
    <row r="9" spans="2:10" x14ac:dyDescent="0.45">
      <c r="B9">
        <v>5</v>
      </c>
      <c r="C9" s="21">
        <f t="shared" si="0"/>
        <v>450</v>
      </c>
      <c r="D9" s="21">
        <f t="shared" si="1"/>
        <v>450</v>
      </c>
      <c r="E9" s="21">
        <f t="shared" si="2"/>
        <v>1500</v>
      </c>
      <c r="F9" s="21">
        <f t="shared" si="3"/>
        <v>750</v>
      </c>
      <c r="G9" s="21">
        <f t="shared" si="4"/>
        <v>800</v>
      </c>
      <c r="H9" s="21">
        <f t="shared" si="5"/>
        <v>890</v>
      </c>
      <c r="I9" s="21">
        <f t="shared" si="6"/>
        <v>3600</v>
      </c>
      <c r="J9" s="21">
        <f t="shared" si="7"/>
        <v>3600</v>
      </c>
    </row>
    <row r="10" spans="2:10" x14ac:dyDescent="0.45">
      <c r="B10">
        <v>6</v>
      </c>
      <c r="C10" s="21">
        <f t="shared" si="0"/>
        <v>540</v>
      </c>
      <c r="D10" s="21">
        <f t="shared" si="1"/>
        <v>540</v>
      </c>
      <c r="E10" s="21">
        <f t="shared" si="2"/>
        <v>1500</v>
      </c>
      <c r="F10" s="21">
        <f t="shared" si="3"/>
        <v>900</v>
      </c>
      <c r="G10" s="21">
        <f t="shared" si="4"/>
        <v>800</v>
      </c>
      <c r="H10" s="21">
        <f t="shared" si="5"/>
        <v>935</v>
      </c>
      <c r="I10" s="21">
        <f t="shared" si="6"/>
        <v>3600</v>
      </c>
      <c r="J10" s="21">
        <f t="shared" si="7"/>
        <v>3675</v>
      </c>
    </row>
    <row r="11" spans="2:10" x14ac:dyDescent="0.45">
      <c r="B11">
        <v>8</v>
      </c>
      <c r="C11" s="21">
        <f t="shared" si="0"/>
        <v>720</v>
      </c>
      <c r="D11" s="21">
        <f t="shared" si="1"/>
        <v>720</v>
      </c>
      <c r="E11" s="21">
        <f t="shared" si="2"/>
        <v>1500</v>
      </c>
      <c r="F11" s="21">
        <f t="shared" si="3"/>
        <v>1200</v>
      </c>
      <c r="G11" s="21">
        <f t="shared" si="4"/>
        <v>800</v>
      </c>
      <c r="H11" s="21">
        <f t="shared" si="5"/>
        <v>1025</v>
      </c>
      <c r="I11" s="21">
        <f t="shared" si="6"/>
        <v>3600</v>
      </c>
      <c r="J11" s="21">
        <f t="shared" si="7"/>
        <v>3825</v>
      </c>
    </row>
    <row r="12" spans="2:10" x14ac:dyDescent="0.45">
      <c r="B12">
        <v>10</v>
      </c>
      <c r="C12" s="21">
        <f t="shared" si="0"/>
        <v>900</v>
      </c>
      <c r="D12" s="21">
        <f t="shared" si="1"/>
        <v>900</v>
      </c>
      <c r="E12" s="21">
        <f t="shared" si="2"/>
        <v>1500</v>
      </c>
      <c r="F12" s="21">
        <f t="shared" si="3"/>
        <v>1500</v>
      </c>
      <c r="G12" s="21">
        <f t="shared" si="4"/>
        <v>800</v>
      </c>
      <c r="H12" s="21">
        <f t="shared" si="5"/>
        <v>1115</v>
      </c>
      <c r="I12" s="21">
        <f t="shared" si="6"/>
        <v>3600</v>
      </c>
      <c r="J12" s="21">
        <f t="shared" si="7"/>
        <v>3975</v>
      </c>
    </row>
    <row r="13" spans="2:10" x14ac:dyDescent="0.45">
      <c r="B13">
        <v>12</v>
      </c>
      <c r="C13" s="21">
        <f t="shared" si="0"/>
        <v>1080</v>
      </c>
      <c r="D13" s="21">
        <f t="shared" si="1"/>
        <v>1080</v>
      </c>
      <c r="E13" s="21">
        <f t="shared" si="2"/>
        <v>1800</v>
      </c>
      <c r="F13" s="21">
        <f t="shared" si="3"/>
        <v>1800</v>
      </c>
      <c r="G13" s="21">
        <f t="shared" si="4"/>
        <v>800</v>
      </c>
      <c r="H13" s="21">
        <f t="shared" si="5"/>
        <v>1205</v>
      </c>
      <c r="I13" s="21">
        <f t="shared" si="6"/>
        <v>3600</v>
      </c>
      <c r="J13" s="21">
        <f t="shared" si="7"/>
        <v>4125</v>
      </c>
    </row>
    <row r="14" spans="2:10" x14ac:dyDescent="0.45">
      <c r="B14">
        <v>15</v>
      </c>
      <c r="C14" s="21">
        <f t="shared" si="0"/>
        <v>1350</v>
      </c>
      <c r="D14" s="21">
        <f t="shared" si="1"/>
        <v>1350</v>
      </c>
      <c r="E14" s="21">
        <f t="shared" si="2"/>
        <v>2250</v>
      </c>
      <c r="F14" s="21">
        <f t="shared" si="3"/>
        <v>2250</v>
      </c>
      <c r="G14" s="21">
        <f t="shared" si="4"/>
        <v>800</v>
      </c>
      <c r="H14" s="21">
        <f t="shared" si="5"/>
        <v>1340</v>
      </c>
      <c r="I14" s="21">
        <f t="shared" si="6"/>
        <v>3600</v>
      </c>
      <c r="J14" s="21">
        <f t="shared" si="7"/>
        <v>4350</v>
      </c>
    </row>
    <row r="15" spans="2:10" x14ac:dyDescent="0.45">
      <c r="B15">
        <v>20</v>
      </c>
      <c r="C15" s="21">
        <f t="shared" si="0"/>
        <v>1800</v>
      </c>
      <c r="D15" s="21">
        <f t="shared" si="1"/>
        <v>1800</v>
      </c>
      <c r="E15" s="21">
        <f t="shared" si="2"/>
        <v>3000</v>
      </c>
      <c r="F15" s="21">
        <f t="shared" si="3"/>
        <v>3000</v>
      </c>
      <c r="G15" s="21">
        <f t="shared" si="4"/>
        <v>800</v>
      </c>
      <c r="H15" s="21">
        <f t="shared" si="5"/>
        <v>1565</v>
      </c>
      <c r="I15" s="21">
        <f t="shared" si="6"/>
        <v>3600</v>
      </c>
      <c r="J15" s="21">
        <f t="shared" si="7"/>
        <v>4725</v>
      </c>
    </row>
    <row r="16" spans="2:10" x14ac:dyDescent="0.45">
      <c r="B16">
        <v>30</v>
      </c>
      <c r="C16" s="21">
        <f t="shared" si="0"/>
        <v>2700</v>
      </c>
      <c r="D16" s="21">
        <f t="shared" si="1"/>
        <v>2700</v>
      </c>
      <c r="E16" s="21">
        <f t="shared" si="2"/>
        <v>4500</v>
      </c>
      <c r="F16" s="21">
        <f t="shared" si="3"/>
        <v>4500</v>
      </c>
      <c r="G16" s="21">
        <f t="shared" si="4"/>
        <v>800</v>
      </c>
      <c r="H16" s="21">
        <f t="shared" si="5"/>
        <v>2015</v>
      </c>
      <c r="I16" s="21">
        <f t="shared" si="6"/>
        <v>3600</v>
      </c>
      <c r="J16" s="21">
        <f t="shared" si="7"/>
        <v>5475</v>
      </c>
    </row>
    <row r="18" spans="2:2" x14ac:dyDescent="0.45">
      <c r="B18" s="8" t="s">
        <v>156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O41"/>
  <sheetViews>
    <sheetView workbookViewId="0">
      <pane xSplit="2" ySplit="15" topLeftCell="C16" activePane="bottomRight" state="frozen"/>
      <selection pane="topRight"/>
      <selection pane="bottomLeft"/>
      <selection pane="bottomRight"/>
    </sheetView>
  </sheetViews>
  <sheetFormatPr defaultRowHeight="14.25" x14ac:dyDescent="0.45"/>
  <cols>
    <col min="1" max="1" width="2" customWidth="1"/>
    <col min="2" max="2" width="16" customWidth="1"/>
    <col min="3" max="41" width="13" customWidth="1"/>
  </cols>
  <sheetData>
    <row r="1" spans="2:41" ht="18" x14ac:dyDescent="0.55000000000000004">
      <c r="B1" s="1" t="s">
        <v>157</v>
      </c>
    </row>
    <row r="2" spans="2:41" x14ac:dyDescent="0.45">
      <c r="B2" s="2" t="s">
        <v>158</v>
      </c>
    </row>
    <row r="4" spans="2:41" x14ac:dyDescent="0.45">
      <c r="B4" t="s">
        <v>159</v>
      </c>
      <c r="H4" s="5">
        <f>F_cust*F_asrpc</f>
        <v>2334755944</v>
      </c>
    </row>
    <row r="5" spans="2:41" x14ac:dyDescent="0.45">
      <c r="B5" t="s">
        <v>160</v>
      </c>
      <c r="H5" s="6">
        <f>SUM(F16:F26)</f>
        <v>71166.577000000019</v>
      </c>
    </row>
    <row r="6" spans="2:41" x14ac:dyDescent="0.45">
      <c r="B6" t="s">
        <v>161</v>
      </c>
      <c r="H6" s="6">
        <f>F_cust-H5</f>
        <v>133924.42299999998</v>
      </c>
    </row>
    <row r="7" spans="2:41" x14ac:dyDescent="0.45">
      <c r="B7" t="s">
        <v>162</v>
      </c>
      <c r="H7" s="5">
        <f>SUMPRODUCT(F16:F26,J16:J26)</f>
        <v>800580922.13999987</v>
      </c>
    </row>
    <row r="8" spans="2:41" x14ac:dyDescent="0.45">
      <c r="B8" t="s">
        <v>163</v>
      </c>
      <c r="H8" s="5">
        <f>BaseRunRate-H7-H6*D_otherRev</f>
        <v>1132401752.8600001</v>
      </c>
    </row>
    <row r="9" spans="2:41" x14ac:dyDescent="0.45">
      <c r="B9" t="s">
        <v>164</v>
      </c>
      <c r="H9" s="16">
        <f>H8/H7</f>
        <v>1.4144750662219425</v>
      </c>
    </row>
    <row r="10" spans="2:41" x14ac:dyDescent="0.45">
      <c r="B10" t="s">
        <v>165</v>
      </c>
      <c r="H10" s="7">
        <f>(H7+H8)/BaseRunRate</f>
        <v>0.82791637385804639</v>
      </c>
    </row>
    <row r="15" spans="2:41" ht="42" customHeight="1" x14ac:dyDescent="0.45">
      <c r="B15" s="4" t="s">
        <v>120</v>
      </c>
      <c r="C15" s="4" t="s">
        <v>121</v>
      </c>
      <c r="D15" s="4" t="s">
        <v>122</v>
      </c>
      <c r="E15" s="4" t="s">
        <v>147</v>
      </c>
      <c r="F15" s="4" t="s">
        <v>127</v>
      </c>
      <c r="G15" s="4" t="s">
        <v>125</v>
      </c>
      <c r="H15" s="4" t="s">
        <v>166</v>
      </c>
      <c r="I15" s="4" t="s">
        <v>167</v>
      </c>
      <c r="J15" s="4" t="s">
        <v>168</v>
      </c>
      <c r="K15" s="4" t="s">
        <v>169</v>
      </c>
      <c r="L15" s="4" t="s">
        <v>170</v>
      </c>
      <c r="M15" s="4" t="s">
        <v>171</v>
      </c>
      <c r="N15" s="4" t="s">
        <v>172</v>
      </c>
      <c r="O15" s="4" t="s">
        <v>173</v>
      </c>
      <c r="P15" s="4" t="s">
        <v>174</v>
      </c>
      <c r="Q15" s="4" t="s">
        <v>175</v>
      </c>
      <c r="R15" s="4" t="s">
        <v>176</v>
      </c>
      <c r="S15" s="4" t="s">
        <v>177</v>
      </c>
      <c r="T15" s="4" t="s">
        <v>178</v>
      </c>
      <c r="U15" s="4" t="s">
        <v>179</v>
      </c>
      <c r="V15" s="4" t="s">
        <v>180</v>
      </c>
      <c r="W15" s="4" t="s">
        <v>181</v>
      </c>
      <c r="X15" s="4" t="s">
        <v>182</v>
      </c>
      <c r="Y15" s="4" t="s">
        <v>183</v>
      </c>
      <c r="Z15" s="4" t="s">
        <v>184</v>
      </c>
      <c r="AA15" s="4" t="s">
        <v>185</v>
      </c>
      <c r="AB15" s="4" t="s">
        <v>186</v>
      </c>
      <c r="AC15" s="4" t="s">
        <v>187</v>
      </c>
      <c r="AD15" s="4" t="s">
        <v>188</v>
      </c>
      <c r="AE15" s="4" t="s">
        <v>189</v>
      </c>
      <c r="AF15" s="4" t="s">
        <v>190</v>
      </c>
      <c r="AG15" s="4" t="s">
        <v>191</v>
      </c>
      <c r="AH15" s="4" t="s">
        <v>192</v>
      </c>
      <c r="AI15" s="4" t="s">
        <v>193</v>
      </c>
      <c r="AJ15" s="4" t="s">
        <v>194</v>
      </c>
      <c r="AK15" s="4" t="s">
        <v>195</v>
      </c>
      <c r="AL15" s="4" t="s">
        <v>196</v>
      </c>
      <c r="AM15" s="4" t="s">
        <v>197</v>
      </c>
      <c r="AN15" s="4" t="s">
        <v>198</v>
      </c>
      <c r="AO15" s="4" t="s">
        <v>199</v>
      </c>
    </row>
    <row r="16" spans="2:41" x14ac:dyDescent="0.45">
      <c r="B16" t="str">
        <f>Inputs!B53</f>
        <v>S1</v>
      </c>
      <c r="C16" t="str">
        <f>Inputs!C53</f>
        <v>Sales Hub</v>
      </c>
      <c r="D16" t="str">
        <f>Inputs!D53</f>
        <v>Professional</v>
      </c>
      <c r="E16">
        <f>Inputs!E53</f>
        <v>2</v>
      </c>
      <c r="F16" s="6">
        <f>Inputs!I53</f>
        <v>10254.550000000001</v>
      </c>
      <c r="G16">
        <f>Inputs!G53</f>
        <v>5</v>
      </c>
      <c r="H16" s="21">
        <f t="shared" ref="H16:H26" si="0">IF(C16="Sales Hub",IF(D16="Professional",P_sp_base+P_sp_add*MAX(0,E16-P_sp_inc),P_se_base+P_se_add*MAX(0,E16-P_se_inc)),IF(D16="Professional",P_mp_base,P_me_base))</f>
        <v>450</v>
      </c>
      <c r="I16" s="21">
        <f t="shared" ref="I16:I26" si="1">IF(C16="Sales Hub",IF(D16="Professional",P_sp_seat,P_se_seat)*E16,IF(D16="Professional",P_mp_base+P_mp_add*MAX(0,E16-P_mp_inc)*(1-D_v),P_me_base+P_me_add*MAX(0,E16-P_me_inc)*(1-D_v)))</f>
        <v>180</v>
      </c>
      <c r="J16" s="21">
        <f t="shared" ref="J16:J26" si="2">12*D_rho*H16</f>
        <v>4590</v>
      </c>
      <c r="K16" s="21">
        <f t="shared" ref="K16:K26" si="3">12*D_rho*I16</f>
        <v>1835.9999999999998</v>
      </c>
      <c r="L16" s="21">
        <f t="shared" ref="L16:L26" si="4">K16-J16</f>
        <v>-2754</v>
      </c>
      <c r="M16" s="21">
        <f>J16*(1+Uplift)</f>
        <v>11082.440553958717</v>
      </c>
      <c r="N16" s="7">
        <f t="shared" ref="N16:N26" si="5">L16/M16</f>
        <v>-0.24850122015915113</v>
      </c>
      <c r="O16" s="21">
        <f t="shared" ref="O16:Q26" si="6">IF($L16&gt;0,$L16,0)</f>
        <v>0</v>
      </c>
      <c r="P16" s="21">
        <f t="shared" si="6"/>
        <v>0</v>
      </c>
      <c r="Q16" s="21">
        <f t="shared" si="6"/>
        <v>0</v>
      </c>
      <c r="R16" s="7">
        <f t="shared" ref="R16:R26" si="7">1*(1-MIN(1,D_k*MAX(0,(O16-0)/($M16+0)-D_tau)))</f>
        <v>1</v>
      </c>
      <c r="S16" s="7">
        <f t="shared" ref="S16:S26" si="8">R16*(1-MIN(1,D_k*MAX(0,(P16-O16)/($M16+O16)-D_tau)))</f>
        <v>1</v>
      </c>
      <c r="T16" s="7">
        <f t="shared" ref="T16:T26" si="9">S16*(1-MIN(1,D_k*MAX(0,(Q16-P16)/($M16+P16)-D_tau)))</f>
        <v>1</v>
      </c>
      <c r="U16" s="5">
        <f t="shared" ref="U16:U26" si="10">IF($L16&gt;0,$F16*(R16*($M16+O16)-$M16),IF($L16&lt;0,$F16*$L16,0))</f>
        <v>-28241030.700000003</v>
      </c>
      <c r="V16" s="5">
        <f t="shared" ref="V16:V26" si="11">IF($L16&gt;0,$F16*(S16*($M16+P16)-$M16),IF($L16&lt;0,$F16*$L16,0))</f>
        <v>-28241030.700000003</v>
      </c>
      <c r="W16" s="5">
        <f t="shared" ref="W16:W26" si="12">IF($L16&gt;0,$F16*(T16*($M16+Q16)-$M16),IF($L16&lt;0,$F16*$L16,0))</f>
        <v>-28241030.700000003</v>
      </c>
      <c r="X16" s="21">
        <f t="shared" ref="X16:Z26" si="13">IF($L16&gt;0,MIN($L16,P_capB*$M16),0)</f>
        <v>0</v>
      </c>
      <c r="Y16" s="21">
        <f t="shared" si="13"/>
        <v>0</v>
      </c>
      <c r="Z16" s="21">
        <f t="shared" si="13"/>
        <v>0</v>
      </c>
      <c r="AA16" s="7">
        <f t="shared" ref="AA16:AA26" si="14">1*(1-MIN(1,D_k*MAX(0,(X16-0)/($M16+0)-D_tau)))</f>
        <v>1</v>
      </c>
      <c r="AB16" s="7">
        <f t="shared" ref="AB16:AB26" si="15">AA16*(1-MIN(1,D_k*MAX(0,(Y16-X16)/($M16+X16)-D_tau)))</f>
        <v>1</v>
      </c>
      <c r="AC16" s="7">
        <f t="shared" ref="AC16:AC26" si="16">AB16*(1-MIN(1,D_k*MAX(0,(Z16-Y16)/($M16+Y16)-D_tau)))</f>
        <v>1</v>
      </c>
      <c r="AD16" s="5">
        <f t="shared" ref="AD16:AD26" si="17">IF($L16&gt;0,$F16*(AA16*($M16+X16)-$M16),IF($L16&lt;0,$F16*(1-(1-D_r)^1)*$L16,0))</f>
        <v>-11296412.280000001</v>
      </c>
      <c r="AE16" s="5">
        <f t="shared" ref="AE16:AE26" si="18">IF($L16&gt;0,$F16*(AB16*($M16+Y16)-$M16),IF($L16&lt;0,$F16*(1-(1-D_r)^2)*$L16,0))</f>
        <v>-18074259.648000002</v>
      </c>
      <c r="AF16" s="5">
        <f t="shared" ref="AF16:AF26" si="19">IF($L16&gt;0,$F16*(AC16*($M16+Z16)-$M16),IF($L16&lt;0,$F16*(1-(1-D_r)^3)*$L16,0))</f>
        <v>-22140968.068800002</v>
      </c>
      <c r="AG16" s="21">
        <f t="shared" ref="AG16:AG26" si="20">IF($L16&gt;0,MIN($L16,D_capC*$M16),0)</f>
        <v>0</v>
      </c>
      <c r="AH16" s="21">
        <f t="shared" ref="AH16:AI26" si="21">IF($L16&gt;0,MIN($L16,AG16+D_capC*($M16+AG16)),0)</f>
        <v>0</v>
      </c>
      <c r="AI16" s="21">
        <f t="shared" si="21"/>
        <v>0</v>
      </c>
      <c r="AJ16" s="7">
        <f t="shared" ref="AJ16:AJ26" si="22">1*(1-MIN(1,D_k*MAX(0,(AG16-0)/($M16+0)-D_tau)))</f>
        <v>1</v>
      </c>
      <c r="AK16" s="7">
        <f t="shared" ref="AK16:AK26" si="23">AJ16*(1-MIN(1,D_k*MAX(0,(AH16-AG16)/($M16+AG16)-D_tau)))</f>
        <v>1</v>
      </c>
      <c r="AL16" s="7">
        <f t="shared" ref="AL16:AL26" si="24">AK16*(1-MIN(1,D_k*MAX(0,(AI16-AH16)/($M16+AH16)-D_tau)))</f>
        <v>1</v>
      </c>
      <c r="AM16" s="5">
        <f t="shared" ref="AM16:AM26" si="25">IF($L16&gt;0,$F16*(AJ16*($M16+AG16)-$M16),IF($L16&lt;0,$F16*(1-(1-D_r)^1)*$L16,0))</f>
        <v>-11296412.280000001</v>
      </c>
      <c r="AN16" s="5">
        <f t="shared" ref="AN16:AN26" si="26">IF($L16&gt;0,$F16*(AK16*($M16+AH16)-$M16),IF($L16&lt;0,$F16*(1-(1-D_r)^2)*$L16,0))</f>
        <v>-18074259.648000002</v>
      </c>
      <c r="AO16" s="5">
        <f t="shared" ref="AO16:AO26" si="27">IF($L16&gt;0,$F16*(AL16*($M16+AI16)-$M16),IF($L16&lt;0,$F16*(1-(1-D_r)^3)*$L16,0))</f>
        <v>-22140968.068800002</v>
      </c>
    </row>
    <row r="17" spans="2:41" x14ac:dyDescent="0.45">
      <c r="B17" t="str">
        <f>Inputs!B54</f>
        <v>S2</v>
      </c>
      <c r="C17" t="str">
        <f>Inputs!C54</f>
        <v>Sales Hub</v>
      </c>
      <c r="D17" t="str">
        <f>Inputs!D54</f>
        <v>Professional</v>
      </c>
      <c r="E17">
        <f>Inputs!E54</f>
        <v>4</v>
      </c>
      <c r="F17" s="6">
        <f>Inputs!I54</f>
        <v>8203.64</v>
      </c>
      <c r="G17">
        <f>Inputs!G54</f>
        <v>5</v>
      </c>
      <c r="H17" s="21">
        <f t="shared" si="0"/>
        <v>450</v>
      </c>
      <c r="I17" s="21">
        <f t="shared" si="1"/>
        <v>360</v>
      </c>
      <c r="J17" s="21">
        <f t="shared" si="2"/>
        <v>4590</v>
      </c>
      <c r="K17" s="21">
        <f t="shared" si="3"/>
        <v>3671.9999999999995</v>
      </c>
      <c r="L17" s="21">
        <f t="shared" si="4"/>
        <v>-918.00000000000045</v>
      </c>
      <c r="M17" s="21">
        <f t="shared" ref="M16:M26" si="28">J17*(1+Uplift)</f>
        <v>11082.440553958717</v>
      </c>
      <c r="N17" s="7">
        <f t="shared" si="5"/>
        <v>-8.2833740053050414E-2</v>
      </c>
      <c r="O17" s="21">
        <f t="shared" si="6"/>
        <v>0</v>
      </c>
      <c r="P17" s="21">
        <f t="shared" si="6"/>
        <v>0</v>
      </c>
      <c r="Q17" s="21">
        <f t="shared" si="6"/>
        <v>0</v>
      </c>
      <c r="R17" s="7">
        <f t="shared" si="7"/>
        <v>1</v>
      </c>
      <c r="S17" s="7">
        <f t="shared" si="8"/>
        <v>1</v>
      </c>
      <c r="T17" s="7">
        <f t="shared" si="9"/>
        <v>1</v>
      </c>
      <c r="U17" s="5">
        <f t="shared" si="10"/>
        <v>-7530941.5200000033</v>
      </c>
      <c r="V17" s="5">
        <f t="shared" si="11"/>
        <v>-7530941.5200000033</v>
      </c>
      <c r="W17" s="5">
        <f t="shared" si="12"/>
        <v>-7530941.5200000033</v>
      </c>
      <c r="X17" s="21">
        <f t="shared" si="13"/>
        <v>0</v>
      </c>
      <c r="Y17" s="21">
        <f t="shared" si="13"/>
        <v>0</v>
      </c>
      <c r="Z17" s="21">
        <f t="shared" si="13"/>
        <v>0</v>
      </c>
      <c r="AA17" s="7">
        <f t="shared" si="14"/>
        <v>1</v>
      </c>
      <c r="AB17" s="7">
        <f t="shared" si="15"/>
        <v>1</v>
      </c>
      <c r="AC17" s="7">
        <f t="shared" si="16"/>
        <v>1</v>
      </c>
      <c r="AD17" s="5">
        <f t="shared" si="17"/>
        <v>-3012376.6080000014</v>
      </c>
      <c r="AE17" s="5">
        <f t="shared" si="18"/>
        <v>-4819802.5728000021</v>
      </c>
      <c r="AF17" s="5">
        <f t="shared" si="19"/>
        <v>-5904258.1516800029</v>
      </c>
      <c r="AG17" s="21">
        <f t="shared" si="20"/>
        <v>0</v>
      </c>
      <c r="AH17" s="21">
        <f t="shared" si="21"/>
        <v>0</v>
      </c>
      <c r="AI17" s="21">
        <f t="shared" si="21"/>
        <v>0</v>
      </c>
      <c r="AJ17" s="7">
        <f t="shared" si="22"/>
        <v>1</v>
      </c>
      <c r="AK17" s="7">
        <f t="shared" si="23"/>
        <v>1</v>
      </c>
      <c r="AL17" s="7">
        <f t="shared" si="24"/>
        <v>1</v>
      </c>
      <c r="AM17" s="5">
        <f t="shared" si="25"/>
        <v>-3012376.6080000014</v>
      </c>
      <c r="AN17" s="5">
        <f t="shared" si="26"/>
        <v>-4819802.5728000021</v>
      </c>
      <c r="AO17" s="5">
        <f t="shared" si="27"/>
        <v>-5904258.1516800029</v>
      </c>
    </row>
    <row r="18" spans="2:41" x14ac:dyDescent="0.45">
      <c r="B18" t="str">
        <f>Inputs!B55</f>
        <v>S3</v>
      </c>
      <c r="C18" t="str">
        <f>Inputs!C55</f>
        <v>Sales Hub</v>
      </c>
      <c r="D18" t="str">
        <f>Inputs!D55</f>
        <v>Professional</v>
      </c>
      <c r="E18">
        <f>Inputs!E55</f>
        <v>10</v>
      </c>
      <c r="F18" s="6">
        <f>Inputs!I55</f>
        <v>10254.550000000001</v>
      </c>
      <c r="G18">
        <f>Inputs!G55</f>
        <v>5</v>
      </c>
      <c r="H18" s="21">
        <f t="shared" si="0"/>
        <v>900</v>
      </c>
      <c r="I18" s="21">
        <f t="shared" si="1"/>
        <v>900</v>
      </c>
      <c r="J18" s="21">
        <f t="shared" si="2"/>
        <v>9180</v>
      </c>
      <c r="K18" s="21">
        <f t="shared" si="3"/>
        <v>9180</v>
      </c>
      <c r="L18" s="21">
        <f t="shared" si="4"/>
        <v>0</v>
      </c>
      <c r="M18" s="21">
        <f t="shared" si="28"/>
        <v>22164.881107917434</v>
      </c>
      <c r="N18" s="7">
        <f t="shared" si="5"/>
        <v>0</v>
      </c>
      <c r="O18" s="21">
        <f t="shared" si="6"/>
        <v>0</v>
      </c>
      <c r="P18" s="21">
        <f t="shared" si="6"/>
        <v>0</v>
      </c>
      <c r="Q18" s="21">
        <f t="shared" si="6"/>
        <v>0</v>
      </c>
      <c r="R18" s="7">
        <f t="shared" si="7"/>
        <v>1</v>
      </c>
      <c r="S18" s="7">
        <f t="shared" si="8"/>
        <v>1</v>
      </c>
      <c r="T18" s="7">
        <f t="shared" si="9"/>
        <v>1</v>
      </c>
      <c r="U18" s="5">
        <f t="shared" si="10"/>
        <v>0</v>
      </c>
      <c r="V18" s="5">
        <f t="shared" si="11"/>
        <v>0</v>
      </c>
      <c r="W18" s="5">
        <f t="shared" si="12"/>
        <v>0</v>
      </c>
      <c r="X18" s="21">
        <f t="shared" si="13"/>
        <v>0</v>
      </c>
      <c r="Y18" s="21">
        <f t="shared" si="13"/>
        <v>0</v>
      </c>
      <c r="Z18" s="21">
        <f t="shared" si="13"/>
        <v>0</v>
      </c>
      <c r="AA18" s="7">
        <f t="shared" si="14"/>
        <v>1</v>
      </c>
      <c r="AB18" s="7">
        <f t="shared" si="15"/>
        <v>1</v>
      </c>
      <c r="AC18" s="7">
        <f t="shared" si="16"/>
        <v>1</v>
      </c>
      <c r="AD18" s="5">
        <f t="shared" si="17"/>
        <v>0</v>
      </c>
      <c r="AE18" s="5">
        <f t="shared" si="18"/>
        <v>0</v>
      </c>
      <c r="AF18" s="5">
        <f t="shared" si="19"/>
        <v>0</v>
      </c>
      <c r="AG18" s="21">
        <f t="shared" si="20"/>
        <v>0</v>
      </c>
      <c r="AH18" s="21">
        <f t="shared" si="21"/>
        <v>0</v>
      </c>
      <c r="AI18" s="21">
        <f t="shared" si="21"/>
        <v>0</v>
      </c>
      <c r="AJ18" s="7">
        <f t="shared" si="22"/>
        <v>1</v>
      </c>
      <c r="AK18" s="7">
        <f t="shared" si="23"/>
        <v>1</v>
      </c>
      <c r="AL18" s="7">
        <f t="shared" si="24"/>
        <v>1</v>
      </c>
      <c r="AM18" s="5">
        <f t="shared" si="25"/>
        <v>0</v>
      </c>
      <c r="AN18" s="5">
        <f t="shared" si="26"/>
        <v>0</v>
      </c>
      <c r="AO18" s="5">
        <f t="shared" si="27"/>
        <v>0</v>
      </c>
    </row>
    <row r="19" spans="2:41" x14ac:dyDescent="0.45">
      <c r="B19" t="str">
        <f>Inputs!B56</f>
        <v>S4</v>
      </c>
      <c r="C19" t="str">
        <f>Inputs!C56</f>
        <v>Sales Hub</v>
      </c>
      <c r="D19" t="str">
        <f>Inputs!D56</f>
        <v>Enterprise</v>
      </c>
      <c r="E19">
        <f>Inputs!E56</f>
        <v>6</v>
      </c>
      <c r="F19" s="6">
        <f>Inputs!I56</f>
        <v>1230.546</v>
      </c>
      <c r="G19">
        <f>Inputs!G56</f>
        <v>10</v>
      </c>
      <c r="H19" s="21">
        <f t="shared" si="0"/>
        <v>1500</v>
      </c>
      <c r="I19" s="21">
        <f t="shared" si="1"/>
        <v>900</v>
      </c>
      <c r="J19" s="21">
        <f t="shared" si="2"/>
        <v>15299.999999999998</v>
      </c>
      <c r="K19" s="21">
        <f t="shared" si="3"/>
        <v>9180</v>
      </c>
      <c r="L19" s="21">
        <f t="shared" si="4"/>
        <v>-6119.9999999999982</v>
      </c>
      <c r="M19" s="21">
        <f t="shared" si="28"/>
        <v>36941.468513195716</v>
      </c>
      <c r="N19" s="7">
        <f t="shared" si="5"/>
        <v>-0.16566748010610075</v>
      </c>
      <c r="O19" s="21">
        <f t="shared" si="6"/>
        <v>0</v>
      </c>
      <c r="P19" s="21">
        <f t="shared" si="6"/>
        <v>0</v>
      </c>
      <c r="Q19" s="21">
        <f t="shared" si="6"/>
        <v>0</v>
      </c>
      <c r="R19" s="7">
        <f t="shared" si="7"/>
        <v>1</v>
      </c>
      <c r="S19" s="7">
        <f t="shared" si="8"/>
        <v>1</v>
      </c>
      <c r="T19" s="7">
        <f t="shared" si="9"/>
        <v>1</v>
      </c>
      <c r="U19" s="5">
        <f t="shared" si="10"/>
        <v>-7530941.5199999977</v>
      </c>
      <c r="V19" s="5">
        <f t="shared" si="11"/>
        <v>-7530941.5199999977</v>
      </c>
      <c r="W19" s="5">
        <f t="shared" si="12"/>
        <v>-7530941.5199999977</v>
      </c>
      <c r="X19" s="21">
        <f t="shared" si="13"/>
        <v>0</v>
      </c>
      <c r="Y19" s="21">
        <f t="shared" si="13"/>
        <v>0</v>
      </c>
      <c r="Z19" s="21">
        <f t="shared" si="13"/>
        <v>0</v>
      </c>
      <c r="AA19" s="7">
        <f t="shared" si="14"/>
        <v>1</v>
      </c>
      <c r="AB19" s="7">
        <f t="shared" si="15"/>
        <v>1</v>
      </c>
      <c r="AC19" s="7">
        <f t="shared" si="16"/>
        <v>1</v>
      </c>
      <c r="AD19" s="5">
        <f t="shared" si="17"/>
        <v>-3012376.6079999991</v>
      </c>
      <c r="AE19" s="5">
        <f t="shared" si="18"/>
        <v>-4819802.5727999983</v>
      </c>
      <c r="AF19" s="5">
        <f t="shared" si="19"/>
        <v>-5904258.1516799992</v>
      </c>
      <c r="AG19" s="21">
        <f t="shared" si="20"/>
        <v>0</v>
      </c>
      <c r="AH19" s="21">
        <f t="shared" si="21"/>
        <v>0</v>
      </c>
      <c r="AI19" s="21">
        <f t="shared" si="21"/>
        <v>0</v>
      </c>
      <c r="AJ19" s="7">
        <f t="shared" si="22"/>
        <v>1</v>
      </c>
      <c r="AK19" s="7">
        <f t="shared" si="23"/>
        <v>1</v>
      </c>
      <c r="AL19" s="7">
        <f t="shared" si="24"/>
        <v>1</v>
      </c>
      <c r="AM19" s="5">
        <f t="shared" si="25"/>
        <v>-3012376.6079999991</v>
      </c>
      <c r="AN19" s="5">
        <f t="shared" si="26"/>
        <v>-4819802.5727999983</v>
      </c>
      <c r="AO19" s="5">
        <f t="shared" si="27"/>
        <v>-5904258.1516799992</v>
      </c>
    </row>
    <row r="20" spans="2:41" x14ac:dyDescent="0.45">
      <c r="B20" t="str">
        <f>Inputs!B57</f>
        <v>S5</v>
      </c>
      <c r="C20" t="str">
        <f>Inputs!C57</f>
        <v>Sales Hub</v>
      </c>
      <c r="D20" t="str">
        <f>Inputs!D57</f>
        <v>Enterprise</v>
      </c>
      <c r="E20">
        <f>Inputs!E57</f>
        <v>30</v>
      </c>
      <c r="F20" s="6">
        <f>Inputs!I57</f>
        <v>2871.2739999999999</v>
      </c>
      <c r="G20">
        <f>Inputs!G57</f>
        <v>10</v>
      </c>
      <c r="H20" s="21">
        <f t="shared" si="0"/>
        <v>4500</v>
      </c>
      <c r="I20" s="21">
        <f t="shared" si="1"/>
        <v>4500</v>
      </c>
      <c r="J20" s="21">
        <f t="shared" si="2"/>
        <v>45900</v>
      </c>
      <c r="K20" s="21">
        <f t="shared" si="3"/>
        <v>45900</v>
      </c>
      <c r="L20" s="21">
        <f t="shared" si="4"/>
        <v>0</v>
      </c>
      <c r="M20" s="21">
        <f t="shared" si="28"/>
        <v>110824.40553958715</v>
      </c>
      <c r="N20" s="7">
        <f t="shared" si="5"/>
        <v>0</v>
      </c>
      <c r="O20" s="21">
        <f t="shared" si="6"/>
        <v>0</v>
      </c>
      <c r="P20" s="21">
        <f t="shared" si="6"/>
        <v>0</v>
      </c>
      <c r="Q20" s="21">
        <f t="shared" si="6"/>
        <v>0</v>
      </c>
      <c r="R20" s="7">
        <f t="shared" si="7"/>
        <v>1</v>
      </c>
      <c r="S20" s="7">
        <f t="shared" si="8"/>
        <v>1</v>
      </c>
      <c r="T20" s="7">
        <f t="shared" si="9"/>
        <v>1</v>
      </c>
      <c r="U20" s="5">
        <f t="shared" si="10"/>
        <v>0</v>
      </c>
      <c r="V20" s="5">
        <f t="shared" si="11"/>
        <v>0</v>
      </c>
      <c r="W20" s="5">
        <f t="shared" si="12"/>
        <v>0</v>
      </c>
      <c r="X20" s="21">
        <f t="shared" si="13"/>
        <v>0</v>
      </c>
      <c r="Y20" s="21">
        <f t="shared" si="13"/>
        <v>0</v>
      </c>
      <c r="Z20" s="21">
        <f t="shared" si="13"/>
        <v>0</v>
      </c>
      <c r="AA20" s="7">
        <f t="shared" si="14"/>
        <v>1</v>
      </c>
      <c r="AB20" s="7">
        <f t="shared" si="15"/>
        <v>1</v>
      </c>
      <c r="AC20" s="7">
        <f t="shared" si="16"/>
        <v>1</v>
      </c>
      <c r="AD20" s="5">
        <f t="shared" si="17"/>
        <v>0</v>
      </c>
      <c r="AE20" s="5">
        <f t="shared" si="18"/>
        <v>0</v>
      </c>
      <c r="AF20" s="5">
        <f t="shared" si="19"/>
        <v>0</v>
      </c>
      <c r="AG20" s="21">
        <f t="shared" si="20"/>
        <v>0</v>
      </c>
      <c r="AH20" s="21">
        <f t="shared" si="21"/>
        <v>0</v>
      </c>
      <c r="AI20" s="21">
        <f t="shared" si="21"/>
        <v>0</v>
      </c>
      <c r="AJ20" s="7">
        <f t="shared" si="22"/>
        <v>1</v>
      </c>
      <c r="AK20" s="7">
        <f t="shared" si="23"/>
        <v>1</v>
      </c>
      <c r="AL20" s="7">
        <f t="shared" si="24"/>
        <v>1</v>
      </c>
      <c r="AM20" s="5">
        <f t="shared" si="25"/>
        <v>0</v>
      </c>
      <c r="AN20" s="5">
        <f t="shared" si="26"/>
        <v>0</v>
      </c>
      <c r="AO20" s="5">
        <f t="shared" si="27"/>
        <v>0</v>
      </c>
    </row>
    <row r="21" spans="2:41" x14ac:dyDescent="0.45">
      <c r="B21" t="str">
        <f>Inputs!B58</f>
        <v>M1</v>
      </c>
      <c r="C21" t="str">
        <f>Inputs!C58</f>
        <v>Marketing Hub</v>
      </c>
      <c r="D21" t="str">
        <f>Inputs!D58</f>
        <v>Professional</v>
      </c>
      <c r="E21">
        <f>Inputs!E58</f>
        <v>3</v>
      </c>
      <c r="F21" s="6">
        <f>Inputs!I58</f>
        <v>14356.37</v>
      </c>
      <c r="G21">
        <f>Inputs!G58</f>
        <v>3</v>
      </c>
      <c r="H21" s="21">
        <f t="shared" si="0"/>
        <v>800</v>
      </c>
      <c r="I21" s="21">
        <f t="shared" si="1"/>
        <v>800</v>
      </c>
      <c r="J21" s="21">
        <f t="shared" si="2"/>
        <v>8159.9999999999991</v>
      </c>
      <c r="K21" s="21">
        <f t="shared" si="3"/>
        <v>8159.9999999999991</v>
      </c>
      <c r="L21" s="21">
        <f t="shared" si="4"/>
        <v>0</v>
      </c>
      <c r="M21" s="21">
        <f t="shared" si="28"/>
        <v>19702.116540371047</v>
      </c>
      <c r="N21" s="7">
        <f t="shared" si="5"/>
        <v>0</v>
      </c>
      <c r="O21" s="21">
        <f t="shared" si="6"/>
        <v>0</v>
      </c>
      <c r="P21" s="21">
        <f t="shared" si="6"/>
        <v>0</v>
      </c>
      <c r="Q21" s="21">
        <f t="shared" si="6"/>
        <v>0</v>
      </c>
      <c r="R21" s="7">
        <f t="shared" si="7"/>
        <v>1</v>
      </c>
      <c r="S21" s="7">
        <f t="shared" si="8"/>
        <v>1</v>
      </c>
      <c r="T21" s="7">
        <f t="shared" si="9"/>
        <v>1</v>
      </c>
      <c r="U21" s="5">
        <f t="shared" si="10"/>
        <v>0</v>
      </c>
      <c r="V21" s="5">
        <f t="shared" si="11"/>
        <v>0</v>
      </c>
      <c r="W21" s="5">
        <f t="shared" si="12"/>
        <v>0</v>
      </c>
      <c r="X21" s="21">
        <f t="shared" si="13"/>
        <v>0</v>
      </c>
      <c r="Y21" s="21">
        <f t="shared" si="13"/>
        <v>0</v>
      </c>
      <c r="Z21" s="21">
        <f t="shared" si="13"/>
        <v>0</v>
      </c>
      <c r="AA21" s="7">
        <f t="shared" si="14"/>
        <v>1</v>
      </c>
      <c r="AB21" s="7">
        <f t="shared" si="15"/>
        <v>1</v>
      </c>
      <c r="AC21" s="7">
        <f t="shared" si="16"/>
        <v>1</v>
      </c>
      <c r="AD21" s="5">
        <f t="shared" si="17"/>
        <v>0</v>
      </c>
      <c r="AE21" s="5">
        <f t="shared" si="18"/>
        <v>0</v>
      </c>
      <c r="AF21" s="5">
        <f t="shared" si="19"/>
        <v>0</v>
      </c>
      <c r="AG21" s="21">
        <f t="shared" si="20"/>
        <v>0</v>
      </c>
      <c r="AH21" s="21">
        <f t="shared" si="21"/>
        <v>0</v>
      </c>
      <c r="AI21" s="21">
        <f t="shared" si="21"/>
        <v>0</v>
      </c>
      <c r="AJ21" s="7">
        <f t="shared" si="22"/>
        <v>1</v>
      </c>
      <c r="AK21" s="7">
        <f t="shared" si="23"/>
        <v>1</v>
      </c>
      <c r="AL21" s="7">
        <f t="shared" si="24"/>
        <v>1</v>
      </c>
      <c r="AM21" s="5">
        <f t="shared" si="25"/>
        <v>0</v>
      </c>
      <c r="AN21" s="5">
        <f t="shared" si="26"/>
        <v>0</v>
      </c>
      <c r="AO21" s="5">
        <f t="shared" si="27"/>
        <v>0</v>
      </c>
    </row>
    <row r="22" spans="2:41" x14ac:dyDescent="0.45">
      <c r="B22" t="str">
        <f>Inputs!B59</f>
        <v>M2</v>
      </c>
      <c r="C22" t="str">
        <f>Inputs!C59</f>
        <v>Marketing Hub</v>
      </c>
      <c r="D22" t="str">
        <f>Inputs!D59</f>
        <v>Professional</v>
      </c>
      <c r="E22">
        <f>Inputs!E59</f>
        <v>6</v>
      </c>
      <c r="F22" s="6">
        <f>Inputs!I59</f>
        <v>12305.46</v>
      </c>
      <c r="G22">
        <f>Inputs!G59</f>
        <v>3</v>
      </c>
      <c r="H22" s="21">
        <f t="shared" si="0"/>
        <v>800</v>
      </c>
      <c r="I22" s="21">
        <f t="shared" si="1"/>
        <v>894.5</v>
      </c>
      <c r="J22" s="21">
        <f t="shared" si="2"/>
        <v>8159.9999999999991</v>
      </c>
      <c r="K22" s="21">
        <f t="shared" si="3"/>
        <v>9123.9</v>
      </c>
      <c r="L22" s="21">
        <f t="shared" si="4"/>
        <v>963.90000000000055</v>
      </c>
      <c r="M22" s="21">
        <f t="shared" si="28"/>
        <v>19702.116540371047</v>
      </c>
      <c r="N22" s="7">
        <f t="shared" si="5"/>
        <v>4.8923677718832922E-2</v>
      </c>
      <c r="O22" s="21">
        <f t="shared" si="6"/>
        <v>963.90000000000055</v>
      </c>
      <c r="P22" s="21">
        <f t="shared" si="6"/>
        <v>963.90000000000055</v>
      </c>
      <c r="Q22" s="21">
        <f t="shared" si="6"/>
        <v>963.90000000000055</v>
      </c>
      <c r="R22" s="7">
        <f t="shared" si="7"/>
        <v>1</v>
      </c>
      <c r="S22" s="7">
        <f t="shared" si="8"/>
        <v>1</v>
      </c>
      <c r="T22" s="7">
        <f t="shared" si="9"/>
        <v>1</v>
      </c>
      <c r="U22" s="5">
        <f t="shared" si="10"/>
        <v>11861232.894000016</v>
      </c>
      <c r="V22" s="5">
        <f t="shared" si="11"/>
        <v>11861232.894000016</v>
      </c>
      <c r="W22" s="5">
        <f t="shared" si="12"/>
        <v>11861232.894000016</v>
      </c>
      <c r="X22" s="21">
        <f t="shared" si="13"/>
        <v>963.90000000000055</v>
      </c>
      <c r="Y22" s="21">
        <f t="shared" si="13"/>
        <v>963.90000000000055</v>
      </c>
      <c r="Z22" s="21">
        <f t="shared" si="13"/>
        <v>963.90000000000055</v>
      </c>
      <c r="AA22" s="7">
        <f t="shared" si="14"/>
        <v>1</v>
      </c>
      <c r="AB22" s="7">
        <f t="shared" si="15"/>
        <v>1</v>
      </c>
      <c r="AC22" s="7">
        <f t="shared" si="16"/>
        <v>1</v>
      </c>
      <c r="AD22" s="5">
        <f t="shared" si="17"/>
        <v>11861232.894000016</v>
      </c>
      <c r="AE22" s="5">
        <f t="shared" si="18"/>
        <v>11861232.894000016</v>
      </c>
      <c r="AF22" s="5">
        <f t="shared" si="19"/>
        <v>11861232.894000016</v>
      </c>
      <c r="AG22" s="21">
        <f t="shared" si="20"/>
        <v>963.90000000000055</v>
      </c>
      <c r="AH22" s="21">
        <f t="shared" si="21"/>
        <v>963.90000000000055</v>
      </c>
      <c r="AI22" s="21">
        <f t="shared" si="21"/>
        <v>963.90000000000055</v>
      </c>
      <c r="AJ22" s="7">
        <f t="shared" si="22"/>
        <v>1</v>
      </c>
      <c r="AK22" s="7">
        <f t="shared" si="23"/>
        <v>1</v>
      </c>
      <c r="AL22" s="7">
        <f t="shared" si="24"/>
        <v>1</v>
      </c>
      <c r="AM22" s="5">
        <f t="shared" si="25"/>
        <v>11861232.894000016</v>
      </c>
      <c r="AN22" s="5">
        <f t="shared" si="26"/>
        <v>11861232.894000016</v>
      </c>
      <c r="AO22" s="5">
        <f t="shared" si="27"/>
        <v>11861232.894000016</v>
      </c>
    </row>
    <row r="23" spans="2:41" x14ac:dyDescent="0.45">
      <c r="B23" t="str">
        <f>Inputs!B60</f>
        <v>M3</v>
      </c>
      <c r="C23" t="str">
        <f>Inputs!C60</f>
        <v>Marketing Hub</v>
      </c>
      <c r="D23" t="str">
        <f>Inputs!D60</f>
        <v>Professional</v>
      </c>
      <c r="E23">
        <f>Inputs!E60</f>
        <v>12</v>
      </c>
      <c r="F23" s="6">
        <f>Inputs!I60</f>
        <v>6152.73</v>
      </c>
      <c r="G23">
        <f>Inputs!G60</f>
        <v>3</v>
      </c>
      <c r="H23" s="21">
        <f t="shared" si="0"/>
        <v>800</v>
      </c>
      <c r="I23" s="21">
        <f t="shared" si="1"/>
        <v>1083.5</v>
      </c>
      <c r="J23" s="21">
        <f t="shared" si="2"/>
        <v>8159.9999999999991</v>
      </c>
      <c r="K23" s="21">
        <f t="shared" si="3"/>
        <v>11051.699999999999</v>
      </c>
      <c r="L23" s="21">
        <f t="shared" si="4"/>
        <v>2891.7</v>
      </c>
      <c r="M23" s="21">
        <f t="shared" si="28"/>
        <v>19702.116540371047</v>
      </c>
      <c r="N23" s="7">
        <f t="shared" si="5"/>
        <v>0.14677103315649867</v>
      </c>
      <c r="O23" s="21">
        <f t="shared" si="6"/>
        <v>2891.7</v>
      </c>
      <c r="P23" s="21">
        <f t="shared" si="6"/>
        <v>2891.7</v>
      </c>
      <c r="Q23" s="21">
        <f t="shared" si="6"/>
        <v>2891.7</v>
      </c>
      <c r="R23" s="7">
        <f t="shared" si="7"/>
        <v>0.9516144834217507</v>
      </c>
      <c r="S23" s="7">
        <f t="shared" si="8"/>
        <v>0.9516144834217507</v>
      </c>
      <c r="T23" s="7">
        <f t="shared" si="9"/>
        <v>0.9516144834217507</v>
      </c>
      <c r="U23" s="5">
        <f t="shared" si="10"/>
        <v>11065601.936789259</v>
      </c>
      <c r="V23" s="5">
        <f t="shared" si="11"/>
        <v>11065601.936789259</v>
      </c>
      <c r="W23" s="5">
        <f t="shared" si="12"/>
        <v>11065601.936789259</v>
      </c>
      <c r="X23" s="21">
        <f t="shared" si="13"/>
        <v>985.10582701855242</v>
      </c>
      <c r="Y23" s="21">
        <f t="shared" si="13"/>
        <v>985.10582701855242</v>
      </c>
      <c r="Z23" s="21">
        <f t="shared" si="13"/>
        <v>985.10582701855242</v>
      </c>
      <c r="AA23" s="7">
        <f t="shared" si="14"/>
        <v>1</v>
      </c>
      <c r="AB23" s="7">
        <f t="shared" si="15"/>
        <v>1</v>
      </c>
      <c r="AC23" s="7">
        <f t="shared" si="16"/>
        <v>1</v>
      </c>
      <c r="AD23" s="5">
        <f t="shared" si="17"/>
        <v>6061090.1750718616</v>
      </c>
      <c r="AE23" s="5">
        <f t="shared" si="18"/>
        <v>6061090.1750718616</v>
      </c>
      <c r="AF23" s="5">
        <f t="shared" si="19"/>
        <v>6061090.1750718616</v>
      </c>
      <c r="AG23" s="21">
        <f t="shared" si="20"/>
        <v>1970.2116540371048</v>
      </c>
      <c r="AH23" s="21">
        <f t="shared" si="21"/>
        <v>2891.7</v>
      </c>
      <c r="AI23" s="21">
        <f t="shared" si="21"/>
        <v>2891.7</v>
      </c>
      <c r="AJ23" s="7">
        <f t="shared" si="22"/>
        <v>0.97499999999999998</v>
      </c>
      <c r="AK23" s="7">
        <f t="shared" si="23"/>
        <v>0.97499999999999998</v>
      </c>
      <c r="AL23" s="7">
        <f t="shared" si="24"/>
        <v>0.97499999999999998</v>
      </c>
      <c r="AM23" s="5">
        <f t="shared" si="25"/>
        <v>8788580.7538541965</v>
      </c>
      <c r="AN23" s="5">
        <f t="shared" si="26"/>
        <v>14316508.019939074</v>
      </c>
      <c r="AO23" s="5">
        <f t="shared" si="27"/>
        <v>14316508.019939074</v>
      </c>
    </row>
    <row r="24" spans="2:41" x14ac:dyDescent="0.45">
      <c r="B24" t="str">
        <f>Inputs!B61</f>
        <v>M4</v>
      </c>
      <c r="C24" t="str">
        <f>Inputs!C61</f>
        <v>Marketing Hub</v>
      </c>
      <c r="D24" t="str">
        <f>Inputs!D61</f>
        <v>Enterprise</v>
      </c>
      <c r="E24">
        <f>Inputs!E61</f>
        <v>5</v>
      </c>
      <c r="F24" s="6">
        <f>Inputs!I61</f>
        <v>1435.6369999999999</v>
      </c>
      <c r="G24">
        <f>Inputs!G61</f>
        <v>5</v>
      </c>
      <c r="H24" s="21">
        <f t="shared" si="0"/>
        <v>3600</v>
      </c>
      <c r="I24" s="21">
        <f t="shared" si="1"/>
        <v>3600</v>
      </c>
      <c r="J24" s="21">
        <f t="shared" si="2"/>
        <v>36720</v>
      </c>
      <c r="K24" s="21">
        <f t="shared" si="3"/>
        <v>36720</v>
      </c>
      <c r="L24" s="21">
        <f t="shared" si="4"/>
        <v>0</v>
      </c>
      <c r="M24" s="21">
        <f t="shared" si="28"/>
        <v>88659.524431669735</v>
      </c>
      <c r="N24" s="7">
        <f t="shared" si="5"/>
        <v>0</v>
      </c>
      <c r="O24" s="21">
        <f t="shared" si="6"/>
        <v>0</v>
      </c>
      <c r="P24" s="21">
        <f t="shared" si="6"/>
        <v>0</v>
      </c>
      <c r="Q24" s="21">
        <f t="shared" si="6"/>
        <v>0</v>
      </c>
      <c r="R24" s="7">
        <f t="shared" si="7"/>
        <v>1</v>
      </c>
      <c r="S24" s="7">
        <f t="shared" si="8"/>
        <v>1</v>
      </c>
      <c r="T24" s="7">
        <f t="shared" si="9"/>
        <v>1</v>
      </c>
      <c r="U24" s="5">
        <f t="shared" si="10"/>
        <v>0</v>
      </c>
      <c r="V24" s="5">
        <f t="shared" si="11"/>
        <v>0</v>
      </c>
      <c r="W24" s="5">
        <f t="shared" si="12"/>
        <v>0</v>
      </c>
      <c r="X24" s="21">
        <f t="shared" si="13"/>
        <v>0</v>
      </c>
      <c r="Y24" s="21">
        <f t="shared" si="13"/>
        <v>0</v>
      </c>
      <c r="Z24" s="21">
        <f t="shared" si="13"/>
        <v>0</v>
      </c>
      <c r="AA24" s="7">
        <f t="shared" si="14"/>
        <v>1</v>
      </c>
      <c r="AB24" s="7">
        <f t="shared" si="15"/>
        <v>1</v>
      </c>
      <c r="AC24" s="7">
        <f t="shared" si="16"/>
        <v>1</v>
      </c>
      <c r="AD24" s="5">
        <f t="shared" si="17"/>
        <v>0</v>
      </c>
      <c r="AE24" s="5">
        <f t="shared" si="18"/>
        <v>0</v>
      </c>
      <c r="AF24" s="5">
        <f t="shared" si="19"/>
        <v>0</v>
      </c>
      <c r="AG24" s="21">
        <f t="shared" si="20"/>
        <v>0</v>
      </c>
      <c r="AH24" s="21">
        <f t="shared" si="21"/>
        <v>0</v>
      </c>
      <c r="AI24" s="21">
        <f t="shared" si="21"/>
        <v>0</v>
      </c>
      <c r="AJ24" s="7">
        <f t="shared" si="22"/>
        <v>1</v>
      </c>
      <c r="AK24" s="7">
        <f t="shared" si="23"/>
        <v>1</v>
      </c>
      <c r="AL24" s="7">
        <f t="shared" si="24"/>
        <v>1</v>
      </c>
      <c r="AM24" s="5">
        <f t="shared" si="25"/>
        <v>0</v>
      </c>
      <c r="AN24" s="5">
        <f t="shared" si="26"/>
        <v>0</v>
      </c>
      <c r="AO24" s="5">
        <f t="shared" si="27"/>
        <v>0</v>
      </c>
    </row>
    <row r="25" spans="2:41" x14ac:dyDescent="0.45">
      <c r="B25" t="str">
        <f>Inputs!B62</f>
        <v>M5</v>
      </c>
      <c r="C25" t="str">
        <f>Inputs!C62</f>
        <v>Marketing Hub</v>
      </c>
      <c r="D25" t="str">
        <f>Inputs!D62</f>
        <v>Enterprise</v>
      </c>
      <c r="E25">
        <f>Inputs!E62</f>
        <v>12</v>
      </c>
      <c r="F25" s="6">
        <f>Inputs!I62</f>
        <v>2461.0920000000001</v>
      </c>
      <c r="G25">
        <f>Inputs!G62</f>
        <v>5</v>
      </c>
      <c r="H25" s="21">
        <f t="shared" si="0"/>
        <v>3600</v>
      </c>
      <c r="I25" s="21">
        <f t="shared" si="1"/>
        <v>3967.5</v>
      </c>
      <c r="J25" s="21">
        <f t="shared" si="2"/>
        <v>36720</v>
      </c>
      <c r="K25" s="21">
        <f t="shared" si="3"/>
        <v>40468.5</v>
      </c>
      <c r="L25" s="21">
        <f t="shared" si="4"/>
        <v>3748.5</v>
      </c>
      <c r="M25" s="21">
        <f t="shared" si="28"/>
        <v>88659.524431669735</v>
      </c>
      <c r="N25" s="7">
        <f t="shared" si="5"/>
        <v>4.2279721485411134E-2</v>
      </c>
      <c r="O25" s="21">
        <f t="shared" si="6"/>
        <v>3748.5</v>
      </c>
      <c r="P25" s="21">
        <f t="shared" si="6"/>
        <v>3748.5</v>
      </c>
      <c r="Q25" s="21">
        <f t="shared" si="6"/>
        <v>3748.5</v>
      </c>
      <c r="R25" s="7">
        <f t="shared" si="7"/>
        <v>1</v>
      </c>
      <c r="S25" s="7">
        <f t="shared" si="8"/>
        <v>1</v>
      </c>
      <c r="T25" s="7">
        <f t="shared" si="9"/>
        <v>1</v>
      </c>
      <c r="U25" s="5">
        <f t="shared" si="10"/>
        <v>9225403.3619999997</v>
      </c>
      <c r="V25" s="5">
        <f t="shared" si="11"/>
        <v>9225403.3619999997</v>
      </c>
      <c r="W25" s="5">
        <f t="shared" si="12"/>
        <v>9225403.3619999997</v>
      </c>
      <c r="X25" s="21">
        <f t="shared" si="13"/>
        <v>3748.5</v>
      </c>
      <c r="Y25" s="21">
        <f t="shared" si="13"/>
        <v>3748.5</v>
      </c>
      <c r="Z25" s="21">
        <f t="shared" si="13"/>
        <v>3748.5</v>
      </c>
      <c r="AA25" s="7">
        <f t="shared" si="14"/>
        <v>1</v>
      </c>
      <c r="AB25" s="7">
        <f t="shared" si="15"/>
        <v>1</v>
      </c>
      <c r="AC25" s="7">
        <f t="shared" si="16"/>
        <v>1</v>
      </c>
      <c r="AD25" s="5">
        <f t="shared" si="17"/>
        <v>9225403.3619999997</v>
      </c>
      <c r="AE25" s="5">
        <f t="shared" si="18"/>
        <v>9225403.3619999997</v>
      </c>
      <c r="AF25" s="5">
        <f t="shared" si="19"/>
        <v>9225403.3619999997</v>
      </c>
      <c r="AG25" s="21">
        <f t="shared" si="20"/>
        <v>3748.5</v>
      </c>
      <c r="AH25" s="21">
        <f t="shared" si="21"/>
        <v>3748.5</v>
      </c>
      <c r="AI25" s="21">
        <f t="shared" si="21"/>
        <v>3748.5</v>
      </c>
      <c r="AJ25" s="7">
        <f t="shared" si="22"/>
        <v>1</v>
      </c>
      <c r="AK25" s="7">
        <f t="shared" si="23"/>
        <v>1</v>
      </c>
      <c r="AL25" s="7">
        <f t="shared" si="24"/>
        <v>1</v>
      </c>
      <c r="AM25" s="5">
        <f t="shared" si="25"/>
        <v>9225403.3619999997</v>
      </c>
      <c r="AN25" s="5">
        <f t="shared" si="26"/>
        <v>9225403.3619999997</v>
      </c>
      <c r="AO25" s="5">
        <f t="shared" si="27"/>
        <v>9225403.3619999997</v>
      </c>
    </row>
    <row r="26" spans="2:41" x14ac:dyDescent="0.45">
      <c r="B26" t="str">
        <f>Inputs!B63</f>
        <v>M6</v>
      </c>
      <c r="C26" t="str">
        <f>Inputs!C63</f>
        <v>Marketing Hub</v>
      </c>
      <c r="D26" t="str">
        <f>Inputs!D63</f>
        <v>Enterprise</v>
      </c>
      <c r="E26">
        <f>Inputs!E63</f>
        <v>30</v>
      </c>
      <c r="F26" s="6">
        <f>Inputs!I63</f>
        <v>1640.7280000000001</v>
      </c>
      <c r="G26">
        <f>Inputs!G63</f>
        <v>5</v>
      </c>
      <c r="H26" s="21">
        <f t="shared" si="0"/>
        <v>3600</v>
      </c>
      <c r="I26" s="21">
        <f t="shared" si="1"/>
        <v>4912.5</v>
      </c>
      <c r="J26" s="21">
        <f t="shared" si="2"/>
        <v>36720</v>
      </c>
      <c r="K26" s="21">
        <f t="shared" si="3"/>
        <v>50107.5</v>
      </c>
      <c r="L26" s="21">
        <f t="shared" si="4"/>
        <v>13387.5</v>
      </c>
      <c r="M26" s="21">
        <f t="shared" si="28"/>
        <v>88659.524431669735</v>
      </c>
      <c r="N26" s="7">
        <f t="shared" si="5"/>
        <v>0.15099900530503976</v>
      </c>
      <c r="O26" s="21">
        <f t="shared" si="6"/>
        <v>13387.5</v>
      </c>
      <c r="P26" s="21">
        <f t="shared" si="6"/>
        <v>13387.5</v>
      </c>
      <c r="Q26" s="21">
        <f t="shared" si="6"/>
        <v>13387.5</v>
      </c>
      <c r="R26" s="7">
        <f t="shared" si="7"/>
        <v>0.9495004973474801</v>
      </c>
      <c r="S26" s="7">
        <f t="shared" si="8"/>
        <v>0.9495004973474801</v>
      </c>
      <c r="T26" s="7">
        <f t="shared" si="9"/>
        <v>0.9495004973474801</v>
      </c>
      <c r="U26" s="5">
        <f t="shared" si="10"/>
        <v>13510043.151352912</v>
      </c>
      <c r="V26" s="5">
        <f t="shared" si="11"/>
        <v>13510043.151352912</v>
      </c>
      <c r="W26" s="5">
        <f t="shared" si="12"/>
        <v>13510043.151352912</v>
      </c>
      <c r="X26" s="21">
        <f t="shared" si="13"/>
        <v>4432.9762215834871</v>
      </c>
      <c r="Y26" s="21">
        <f t="shared" si="13"/>
        <v>4432.9762215834871</v>
      </c>
      <c r="Z26" s="21">
        <f t="shared" si="13"/>
        <v>4432.9762215834871</v>
      </c>
      <c r="AA26" s="7">
        <f t="shared" si="14"/>
        <v>1</v>
      </c>
      <c r="AB26" s="7">
        <f t="shared" si="15"/>
        <v>1</v>
      </c>
      <c r="AC26" s="7">
        <f t="shared" si="16"/>
        <v>1</v>
      </c>
      <c r="AD26" s="5">
        <f t="shared" si="17"/>
        <v>7273308.2100862414</v>
      </c>
      <c r="AE26" s="5">
        <f t="shared" si="18"/>
        <v>7273308.2100862414</v>
      </c>
      <c r="AF26" s="5">
        <f t="shared" si="19"/>
        <v>7273308.2100862414</v>
      </c>
      <c r="AG26" s="21">
        <f t="shared" si="20"/>
        <v>8865.9524431669743</v>
      </c>
      <c r="AH26" s="21">
        <f t="shared" si="21"/>
        <v>13387.5</v>
      </c>
      <c r="AI26" s="21">
        <f t="shared" si="21"/>
        <v>13387.5</v>
      </c>
      <c r="AJ26" s="7">
        <f t="shared" si="22"/>
        <v>0.97499999999999998</v>
      </c>
      <c r="AK26" s="7">
        <f t="shared" si="23"/>
        <v>0.97499999999999998</v>
      </c>
      <c r="AL26" s="7">
        <f t="shared" si="24"/>
        <v>0.97499999999999998</v>
      </c>
      <c r="AM26" s="5">
        <f t="shared" si="25"/>
        <v>10546296.904625036</v>
      </c>
      <c r="AN26" s="5">
        <f t="shared" si="26"/>
        <v>17779460.842456881</v>
      </c>
      <c r="AO26" s="5">
        <f t="shared" si="27"/>
        <v>17779460.842456881</v>
      </c>
    </row>
    <row r="27" spans="2:41" x14ac:dyDescent="0.45">
      <c r="B27" s="3" t="s">
        <v>200</v>
      </c>
      <c r="U27" s="23">
        <f>SUM(U16:U26)</f>
        <v>2359367.6041421853</v>
      </c>
      <c r="V27" s="23">
        <f>SUM(V16:V26)</f>
        <v>2359367.6041421853</v>
      </c>
      <c r="W27" s="23">
        <f>SUM(W16:W26)</f>
        <v>2359367.6041421853</v>
      </c>
      <c r="AD27" s="23">
        <f>SUM(AD16:AD26)</f>
        <v>17099869.145158119</v>
      </c>
      <c r="AE27" s="23">
        <f>SUM(AE16:AE26)</f>
        <v>6707169.8475581147</v>
      </c>
      <c r="AF27" s="23">
        <f>SUM(AF16:AF26)</f>
        <v>471550.26899811625</v>
      </c>
      <c r="AM27" s="23">
        <f>SUM(AM16:AM26)</f>
        <v>23100348.418479249</v>
      </c>
      <c r="AN27" s="23">
        <f>SUM(AN16:AN26)</f>
        <v>25468740.324795969</v>
      </c>
      <c r="AO27" s="23">
        <f>SUM(AO16:AO26)</f>
        <v>19233120.746235967</v>
      </c>
    </row>
    <row r="29" spans="2:41" ht="15.75" x14ac:dyDescent="0.5">
      <c r="B29" s="9" t="s">
        <v>201</v>
      </c>
    </row>
    <row r="30" spans="2:41" ht="28.5" x14ac:dyDescent="0.45">
      <c r="B30" s="4" t="s">
        <v>202</v>
      </c>
      <c r="C30" s="4" t="s">
        <v>3</v>
      </c>
      <c r="D30" s="4" t="s">
        <v>4</v>
      </c>
      <c r="E30" s="4" t="s">
        <v>5</v>
      </c>
    </row>
    <row r="31" spans="2:41" x14ac:dyDescent="0.45">
      <c r="B31" t="s">
        <v>203</v>
      </c>
      <c r="C31" s="5">
        <f>U27</f>
        <v>2359367.6041421853</v>
      </c>
      <c r="D31" s="5">
        <f>AD27</f>
        <v>17099869.145158119</v>
      </c>
      <c r="E31" s="5">
        <f>AM27</f>
        <v>23100348.418479249</v>
      </c>
    </row>
    <row r="32" spans="2:41" x14ac:dyDescent="0.45">
      <c r="B32" t="s">
        <v>204</v>
      </c>
      <c r="C32" s="5">
        <f>V27</f>
        <v>2359367.6041421853</v>
      </c>
      <c r="D32" s="5">
        <f>AE27</f>
        <v>6707169.8475581147</v>
      </c>
      <c r="E32" s="5">
        <f>AN27</f>
        <v>25468740.324795969</v>
      </c>
    </row>
    <row r="33" spans="2:5" x14ac:dyDescent="0.45">
      <c r="B33" t="s">
        <v>205</v>
      </c>
      <c r="C33" s="5">
        <f>W27</f>
        <v>2359367.6041421853</v>
      </c>
      <c r="D33" s="5">
        <f>AF27</f>
        <v>471550.26899811625</v>
      </c>
      <c r="E33" s="5">
        <f>AO27</f>
        <v>19233120.746235967</v>
      </c>
    </row>
    <row r="34" spans="2:5" x14ac:dyDescent="0.45">
      <c r="B34" t="s">
        <v>206</v>
      </c>
      <c r="C34" s="5">
        <f>U27+V27+W27</f>
        <v>7078102.8124265559</v>
      </c>
      <c r="D34" s="5">
        <f>AD27+AE27+AF27</f>
        <v>24278589.26171435</v>
      </c>
      <c r="E34" s="5">
        <f>AM27+AN27+AO27</f>
        <v>67802209.489511192</v>
      </c>
    </row>
    <row r="35" spans="2:5" x14ac:dyDescent="0.45">
      <c r="B35" t="s">
        <v>207</v>
      </c>
      <c r="C35" s="5">
        <f>SUMIF($L$16:$L$26,"&gt;0",W16:W26)</f>
        <v>45662281.344142184</v>
      </c>
      <c r="D35" s="5">
        <f>SUMIF($L$16:$L$26,"&gt;0",AF16:AF26)</f>
        <v>34421034.641158119</v>
      </c>
      <c r="E35" s="5">
        <f>SUMIF($L$16:$L$26,"&gt;0",AO16:AO26)</f>
        <v>53182605.118395969</v>
      </c>
    </row>
    <row r="36" spans="2:5" x14ac:dyDescent="0.45">
      <c r="B36" t="s">
        <v>208</v>
      </c>
      <c r="C36" s="5">
        <f>SUMIF($L$16:$L$26,"&lt;0",W16:W26)</f>
        <v>-43302913.740000002</v>
      </c>
      <c r="D36" s="5">
        <f>SUMIF($L$16:$L$26,"&lt;0",AF16:AF26)</f>
        <v>-33949484.372160003</v>
      </c>
      <c r="E36" s="5">
        <f>SUMIF($L$16:$L$26,"&lt;0",AO16:AO26)</f>
        <v>-33949484.372160003</v>
      </c>
    </row>
    <row r="37" spans="2:5" x14ac:dyDescent="0.45">
      <c r="B37" t="s">
        <v>209</v>
      </c>
      <c r="C37" s="6">
        <f>SUMPRODUCT(($L$16:$L$26&gt;0)*$F$16:$F$26*(1-T16:T26))</f>
        <v>380.55896740455546</v>
      </c>
      <c r="D37" s="6">
        <f>SUMPRODUCT(($L$16:$L$26&gt;0)*$F$16:$F$26*(1-AC16:AC26))</f>
        <v>0</v>
      </c>
      <c r="E37" s="6">
        <f>SUMPRODUCT(($L$16:$L$26&gt;0)*$F$16:$F$26*(1-AL16:AL26))</f>
        <v>194.83645000000016</v>
      </c>
    </row>
    <row r="38" spans="2:5" x14ac:dyDescent="0.45">
      <c r="B38" t="s">
        <v>210</v>
      </c>
      <c r="C38" s="16">
        <f>U27/BaseRunRate*100</f>
        <v>0.10105414273408037</v>
      </c>
      <c r="D38" s="16">
        <f>AD27/BaseRunRate*100</f>
        <v>0.73240499458208552</v>
      </c>
      <c r="E38" s="16">
        <f>AM27/BaseRunRate*100</f>
        <v>0.98941169751998925</v>
      </c>
    </row>
    <row r="40" spans="2:5" x14ac:dyDescent="0.45">
      <c r="B40" t="s">
        <v>211</v>
      </c>
      <c r="C40" s="5">
        <f>SUMPRODUCT(($L$16:$L$26&gt;0)*$F$16:$F$26*$L$16:$L$26)</f>
        <v>60843731.697000004</v>
      </c>
    </row>
    <row r="41" spans="2:5" x14ac:dyDescent="0.45">
      <c r="B41" t="s">
        <v>212</v>
      </c>
      <c r="C41" s="5">
        <f>SUMPRODUCT(($L$16:$L$26&lt;0)*$F$16:$F$26*$L$16:$L$26)</f>
        <v>-43302913.740000002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A17"/>
  <sheetViews>
    <sheetView workbookViewId="0"/>
  </sheetViews>
  <sheetFormatPr defaultRowHeight="14.25" x14ac:dyDescent="0.45"/>
  <cols>
    <col min="1" max="1" width="2" customWidth="1"/>
    <col min="2" max="27" width="11" customWidth="1"/>
  </cols>
  <sheetData>
    <row r="1" spans="2:27" ht="18" x14ac:dyDescent="0.55000000000000004">
      <c r="B1" s="1" t="s">
        <v>213</v>
      </c>
    </row>
    <row r="2" spans="2:27" x14ac:dyDescent="0.45">
      <c r="B2" s="2" t="s">
        <v>214</v>
      </c>
    </row>
    <row r="4" spans="2:27" x14ac:dyDescent="0.45">
      <c r="B4" t="s">
        <v>215</v>
      </c>
      <c r="C4" s="24"/>
    </row>
    <row r="6" spans="2:27" x14ac:dyDescent="0.45">
      <c r="B6" s="4" t="s">
        <v>216</v>
      </c>
      <c r="C6" s="4" t="s">
        <v>217</v>
      </c>
      <c r="D6" s="4" t="s">
        <v>218</v>
      </c>
      <c r="E6" s="4" t="s">
        <v>219</v>
      </c>
      <c r="F6" s="4" t="s">
        <v>220</v>
      </c>
      <c r="G6" s="4" t="s">
        <v>221</v>
      </c>
      <c r="H6" s="4" t="s">
        <v>222</v>
      </c>
      <c r="I6" s="4" t="s">
        <v>223</v>
      </c>
      <c r="J6" s="4" t="s">
        <v>224</v>
      </c>
      <c r="K6" s="4" t="s">
        <v>225</v>
      </c>
      <c r="L6" s="4" t="s">
        <v>226</v>
      </c>
      <c r="M6" s="4" t="s">
        <v>227</v>
      </c>
      <c r="N6" s="4" t="s">
        <v>228</v>
      </c>
      <c r="O6" s="4" t="s">
        <v>229</v>
      </c>
      <c r="P6" s="4" t="s">
        <v>230</v>
      </c>
      <c r="Q6" s="4" t="s">
        <v>231</v>
      </c>
      <c r="R6" s="4" t="s">
        <v>232</v>
      </c>
      <c r="S6" s="4" t="s">
        <v>233</v>
      </c>
      <c r="T6" s="4" t="s">
        <v>234</v>
      </c>
      <c r="U6" s="4" t="s">
        <v>235</v>
      </c>
      <c r="V6" s="4" t="s">
        <v>236</v>
      </c>
      <c r="W6" s="4" t="s">
        <v>237</v>
      </c>
      <c r="X6" s="4" t="s">
        <v>238</v>
      </c>
      <c r="Y6" s="4" t="s">
        <v>239</v>
      </c>
      <c r="Z6" s="4" t="s">
        <v>240</v>
      </c>
    </row>
    <row r="7" spans="2:27" x14ac:dyDescent="0.45">
      <c r="B7" s="8" t="s">
        <v>241</v>
      </c>
      <c r="C7" s="5">
        <f>oA_Y1</f>
        <v>2359367.6041421853</v>
      </c>
      <c r="D7" s="5">
        <f>oA_Y2</f>
        <v>2359367.6041421853</v>
      </c>
      <c r="E7" s="5">
        <f>oA_Y3</f>
        <v>2359367.6041421853</v>
      </c>
      <c r="F7" s="5">
        <f>oA_Cum</f>
        <v>7078102.8124265559</v>
      </c>
      <c r="G7" s="5">
        <f>oA_Up</f>
        <v>45662281.344142184</v>
      </c>
      <c r="H7" s="5">
        <f>oA_Risk</f>
        <v>-43302913.740000002</v>
      </c>
      <c r="I7" s="6">
        <f>oA_Lost</f>
        <v>380.55896740455546</v>
      </c>
      <c r="J7" s="16">
        <f>oA_Nrr</f>
        <v>0.10105414273408037</v>
      </c>
      <c r="K7" s="5">
        <f>oB_Y1</f>
        <v>17099869.145158119</v>
      </c>
      <c r="L7" s="5">
        <f>oB_Y2</f>
        <v>6707169.8475581147</v>
      </c>
      <c r="M7" s="5">
        <f>oB_Y3</f>
        <v>471550.26899811625</v>
      </c>
      <c r="N7" s="5">
        <f>oB_Cum</f>
        <v>24278589.26171435</v>
      </c>
      <c r="O7" s="5">
        <f>oB_Up</f>
        <v>34421034.641158119</v>
      </c>
      <c r="P7" s="5">
        <f>oB_Risk</f>
        <v>-33949484.372160003</v>
      </c>
      <c r="Q7" s="6">
        <f>oB_Lost</f>
        <v>0</v>
      </c>
      <c r="R7" s="16">
        <f>oB_Nrr</f>
        <v>0.73240499458208552</v>
      </c>
      <c r="S7" s="5">
        <f>oC_Y1</f>
        <v>23100348.418479249</v>
      </c>
      <c r="T7" s="5">
        <f>oC_Y2</f>
        <v>25468740.324795969</v>
      </c>
      <c r="U7" s="5">
        <f>oC_Y3</f>
        <v>19233120.746235967</v>
      </c>
      <c r="V7" s="5">
        <f>oC_Cum</f>
        <v>67802209.489511192</v>
      </c>
      <c r="W7" s="5">
        <f>oC_Up</f>
        <v>53182605.118395969</v>
      </c>
      <c r="X7" s="5">
        <f>oC_Risk</f>
        <v>-33949484.372160003</v>
      </c>
      <c r="Y7" s="6">
        <f>oC_Lost</f>
        <v>194.83645000000016</v>
      </c>
      <c r="Z7" s="16">
        <f>oC_Nrr</f>
        <v>0.98941169751998925</v>
      </c>
    </row>
    <row r="8" spans="2:27" x14ac:dyDescent="0.45">
      <c r="B8">
        <v>1</v>
      </c>
      <c r="C8" s="5">
        <f t="dataTable" ref="C8:Z10" dt2D="0" dtr="0" r1="C4" ca="1"/>
        <v>-11498006.380439186</v>
      </c>
      <c r="D8" s="5">
        <v>-11498006.380439186</v>
      </c>
      <c r="E8" s="5">
        <v>-11498006.380439186</v>
      </c>
      <c r="F8" s="5">
        <v>-34494019.141317561</v>
      </c>
      <c r="G8" s="5">
        <v>31804907.359560817</v>
      </c>
      <c r="H8" s="5">
        <v>-43302913.740000002</v>
      </c>
      <c r="I8" s="6">
        <v>411.6159190228704</v>
      </c>
      <c r="J8" s="16">
        <v>-0.4924714469616181</v>
      </c>
      <c r="K8" s="5">
        <v>3920721.485158083</v>
      </c>
      <c r="L8" s="5">
        <v>-6471977.812441919</v>
      </c>
      <c r="M8" s="5">
        <v>-10629057.531481918</v>
      </c>
      <c r="N8" s="5">
        <v>-13180313.858765755</v>
      </c>
      <c r="O8" s="5">
        <v>29902469.729158085</v>
      </c>
      <c r="P8" s="5">
        <v>-40531527.260640003</v>
      </c>
      <c r="Q8" s="6">
        <v>0</v>
      </c>
      <c r="R8" s="16">
        <v>0.16792853639515493</v>
      </c>
      <c r="S8" s="5">
        <v>5520849.2913770434</v>
      </c>
      <c r="T8" s="5">
        <v>-485685.77308650129</v>
      </c>
      <c r="U8" s="5">
        <v>-4642765.4921265002</v>
      </c>
      <c r="V8" s="5">
        <v>392398.02616404183</v>
      </c>
      <c r="W8" s="5">
        <v>35888761.768513501</v>
      </c>
      <c r="X8" s="5">
        <v>-40531527.260640003</v>
      </c>
      <c r="Y8" s="6">
        <v>311.73832000000027</v>
      </c>
      <c r="Z8" s="16">
        <v>0.2364636571785956</v>
      </c>
      <c r="AA8" s="8" t="s">
        <v>89</v>
      </c>
    </row>
    <row r="9" spans="2:27" x14ac:dyDescent="0.45">
      <c r="B9">
        <v>2</v>
      </c>
      <c r="C9" s="5">
        <v>2359367.6041421853</v>
      </c>
      <c r="D9" s="5">
        <v>2359367.6041421853</v>
      </c>
      <c r="E9" s="5">
        <v>2359367.6041421853</v>
      </c>
      <c r="F9" s="5">
        <v>7078102.8124265559</v>
      </c>
      <c r="G9" s="5">
        <v>45662281.344142184</v>
      </c>
      <c r="H9" s="5">
        <v>-43302913.740000002</v>
      </c>
      <c r="I9" s="6">
        <v>380.55896740455546</v>
      </c>
      <c r="J9" s="16">
        <v>0.10105414273408037</v>
      </c>
      <c r="K9" s="5">
        <v>17099869.145158119</v>
      </c>
      <c r="L9" s="5">
        <v>6707169.8475581147</v>
      </c>
      <c r="M9" s="5">
        <v>471550.26899811625</v>
      </c>
      <c r="N9" s="5">
        <v>24278589.26171435</v>
      </c>
      <c r="O9" s="5">
        <v>34421034.641158119</v>
      </c>
      <c r="P9" s="5">
        <v>-33949484.372160003</v>
      </c>
      <c r="Q9" s="6">
        <v>0</v>
      </c>
      <c r="R9" s="16">
        <v>0.73240499458208552</v>
      </c>
      <c r="S9" s="5">
        <v>23100348.418479249</v>
      </c>
      <c r="T9" s="5">
        <v>25468740.324795969</v>
      </c>
      <c r="U9" s="5">
        <v>19233120.746235967</v>
      </c>
      <c r="V9" s="5">
        <v>67802209.489511192</v>
      </c>
      <c r="W9" s="5">
        <v>53182605.118395969</v>
      </c>
      <c r="X9" s="5">
        <v>-33949484.372160003</v>
      </c>
      <c r="Y9" s="6">
        <v>194.83645000000016</v>
      </c>
      <c r="Z9" s="16">
        <v>0.98941169751998925</v>
      </c>
      <c r="AA9" s="8" t="s">
        <v>90</v>
      </c>
    </row>
    <row r="10" spans="2:27" x14ac:dyDescent="0.45">
      <c r="B10">
        <v>3</v>
      </c>
      <c r="C10" s="5">
        <v>19580592.61658923</v>
      </c>
      <c r="D10" s="5">
        <v>19580592.61658923</v>
      </c>
      <c r="E10" s="5">
        <v>19580592.61658923</v>
      </c>
      <c r="F10" s="5">
        <v>58741777.849767685</v>
      </c>
      <c r="G10" s="5">
        <v>62883506.356589228</v>
      </c>
      <c r="H10" s="5">
        <v>-43302913.740000002</v>
      </c>
      <c r="I10" s="6">
        <v>281.69360949639696</v>
      </c>
      <c r="J10" s="16">
        <v>0.83865693401096786</v>
      </c>
      <c r="K10" s="5">
        <v>25540812.61543119</v>
      </c>
      <c r="L10" s="5">
        <v>17421516.289181188</v>
      </c>
      <c r="M10" s="5">
        <v>11332044.044493683</v>
      </c>
      <c r="N10" s="5">
        <v>54294372.94910606</v>
      </c>
      <c r="O10" s="5">
        <v>36366541.050431192</v>
      </c>
      <c r="P10" s="5">
        <v>-25034497.005937506</v>
      </c>
      <c r="Q10" s="6">
        <v>0</v>
      </c>
      <c r="R10" s="16">
        <v>1.0939392907882963</v>
      </c>
      <c r="S10" s="5">
        <v>37100420.263312303</v>
      </c>
      <c r="T10" s="5">
        <v>48478846.682097182</v>
      </c>
      <c r="U10" s="5">
        <v>42389374.437409669</v>
      </c>
      <c r="V10" s="5">
        <v>127968641.38281915</v>
      </c>
      <c r="W10" s="5">
        <v>67423871.443347171</v>
      </c>
      <c r="X10" s="5">
        <v>-25034497.005937506</v>
      </c>
      <c r="Y10" s="6">
        <v>169.69087470220171</v>
      </c>
      <c r="Z10" s="16">
        <v>1.5890491834341509</v>
      </c>
      <c r="AA10" s="8" t="s">
        <v>91</v>
      </c>
    </row>
    <row r="11" spans="2:27" x14ac:dyDescent="0.45">
      <c r="C11" s="5"/>
      <c r="D11" s="5"/>
      <c r="E11" s="5"/>
      <c r="F11" s="5"/>
      <c r="G11" s="5"/>
      <c r="H11" s="5"/>
      <c r="I11" s="6"/>
      <c r="J11" s="16"/>
      <c r="K11" s="5"/>
      <c r="L11" s="5"/>
      <c r="M11" s="5"/>
      <c r="N11" s="5"/>
      <c r="O11" s="5"/>
      <c r="P11" s="5"/>
      <c r="Q11" s="6"/>
      <c r="R11" s="16"/>
      <c r="S11" s="5"/>
      <c r="T11" s="5"/>
      <c r="U11" s="5"/>
      <c r="V11" s="5"/>
      <c r="W11" s="5"/>
      <c r="X11" s="5"/>
      <c r="Y11" s="6"/>
      <c r="Z11" s="16"/>
    </row>
    <row r="12" spans="2:27" x14ac:dyDescent="0.45">
      <c r="B12" s="3" t="s">
        <v>242</v>
      </c>
      <c r="C12" s="5">
        <f t="shared" ref="C12:Z12" si="0">W_BEAR*C8+W_BASE*C9+W_BULL*C10</f>
        <v>3200330.3611086034</v>
      </c>
      <c r="D12" s="5">
        <f t="shared" si="0"/>
        <v>3200330.3611086034</v>
      </c>
      <c r="E12" s="5">
        <f t="shared" si="0"/>
        <v>3200330.3611086034</v>
      </c>
      <c r="F12" s="5">
        <f t="shared" si="0"/>
        <v>9600991.0833258089</v>
      </c>
      <c r="G12" s="5">
        <f t="shared" si="0"/>
        <v>46503244.101108603</v>
      </c>
      <c r="H12" s="5">
        <f t="shared" si="0"/>
        <v>-43302913.740000002</v>
      </c>
      <c r="I12" s="6">
        <f t="shared" si="0"/>
        <v>363.60686583209457</v>
      </c>
      <c r="J12" s="16">
        <f t="shared" si="0"/>
        <v>0.13707344312937764</v>
      </c>
      <c r="K12" s="5">
        <f t="shared" si="0"/>
        <v>15915318.097726379</v>
      </c>
      <c r="L12" s="5">
        <f t="shared" si="0"/>
        <v>6090969.5429638745</v>
      </c>
      <c r="M12" s="5">
        <f t="shared" si="0"/>
        <v>411521.76275199931</v>
      </c>
      <c r="N12" s="5">
        <f t="shared" si="0"/>
        <v>22417809.403442249</v>
      </c>
      <c r="O12" s="5">
        <f t="shared" si="0"/>
        <v>33777770.015476376</v>
      </c>
      <c r="P12" s="5">
        <f t="shared" si="0"/>
        <v>-33366248.252724376</v>
      </c>
      <c r="Q12" s="6">
        <f t="shared" si="0"/>
        <v>0</v>
      </c>
      <c r="R12" s="16">
        <f t="shared" si="0"/>
        <v>0.6816694540869056</v>
      </c>
      <c r="S12" s="5">
        <f t="shared" si="0"/>
        <v>22205491.597911961</v>
      </c>
      <c r="T12" s="5">
        <f t="shared" si="0"/>
        <v>24732660.389650654</v>
      </c>
      <c r="U12" s="5">
        <f t="shared" si="0"/>
        <v>19053212.609438777</v>
      </c>
      <c r="V12" s="5">
        <f t="shared" si="0"/>
        <v>65991364.597001396</v>
      </c>
      <c r="W12" s="5">
        <f t="shared" si="0"/>
        <v>52419460.862163156</v>
      </c>
      <c r="X12" s="5">
        <f t="shared" si="0"/>
        <v>-33366248.252724376</v>
      </c>
      <c r="Y12" s="6">
        <f t="shared" si="0"/>
        <v>217.77552367555057</v>
      </c>
      <c r="Z12" s="16">
        <f t="shared" si="0"/>
        <v>0.95108405891318126</v>
      </c>
    </row>
    <row r="14" spans="2:27" x14ac:dyDescent="0.45">
      <c r="B14" s="3" t="s">
        <v>243</v>
      </c>
      <c r="C14" s="8" t="s">
        <v>244</v>
      </c>
      <c r="D14" s="8" t="s">
        <v>245</v>
      </c>
    </row>
    <row r="15" spans="2:27" x14ac:dyDescent="0.45">
      <c r="B15" t="s">
        <v>89</v>
      </c>
      <c r="C15" s="5">
        <f>BearC_Cum-BearB_Cum</f>
        <v>13572711.884929797</v>
      </c>
      <c r="D15" s="5">
        <f>BearC_Cum-BearA_Cum</f>
        <v>34886417.167481601</v>
      </c>
    </row>
    <row r="16" spans="2:27" x14ac:dyDescent="0.45">
      <c r="B16" t="s">
        <v>90</v>
      </c>
      <c r="C16" s="5">
        <f>BaseC_Cum-BaseB_Cum</f>
        <v>43523620.227796838</v>
      </c>
      <c r="D16" s="5">
        <f>BaseC_Cum-BaseA_Cum</f>
        <v>60724106.67708464</v>
      </c>
    </row>
    <row r="17" spans="2:4" x14ac:dyDescent="0.45">
      <c r="B17" t="s">
        <v>91</v>
      </c>
      <c r="C17" s="5">
        <f>BullC_Cum-BullB_Cum</f>
        <v>73674268.433713078</v>
      </c>
      <c r="D17" s="5">
        <f>BullC_Cum-BullA_Cum</f>
        <v>69226863.533051461</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96"/>
  <sheetViews>
    <sheetView workbookViewId="0"/>
  </sheetViews>
  <sheetFormatPr defaultRowHeight="14.25" x14ac:dyDescent="0.45"/>
  <cols>
    <col min="1" max="1" width="2" customWidth="1"/>
    <col min="2" max="4" width="14" customWidth="1"/>
    <col min="5" max="5" width="44" customWidth="1"/>
    <col min="6" max="8" width="12" customWidth="1"/>
    <col min="9" max="9" width="10" customWidth="1"/>
  </cols>
  <sheetData>
    <row r="1" spans="2:12" ht="18" x14ac:dyDescent="0.55000000000000004">
      <c r="B1" s="1" t="s">
        <v>246</v>
      </c>
    </row>
    <row r="2" spans="2:12" x14ac:dyDescent="0.45">
      <c r="B2" s="2" t="s">
        <v>247</v>
      </c>
    </row>
    <row r="4" spans="2:12" x14ac:dyDescent="0.45">
      <c r="B4" s="8" t="s">
        <v>248</v>
      </c>
      <c r="D4" s="8" t="s">
        <v>249</v>
      </c>
      <c r="F4" s="8" t="s">
        <v>250</v>
      </c>
      <c r="H4" s="8" t="s">
        <v>251</v>
      </c>
      <c r="J4" s="8" t="s">
        <v>252</v>
      </c>
      <c r="L4" s="8" t="s">
        <v>253</v>
      </c>
    </row>
    <row r="5" spans="2:12" x14ac:dyDescent="0.45">
      <c r="B5" s="24"/>
      <c r="D5" s="24"/>
      <c r="F5" s="24"/>
      <c r="H5" s="24"/>
      <c r="J5" s="24"/>
      <c r="L5" s="24"/>
    </row>
    <row r="8" spans="2:12" ht="15.75" x14ac:dyDescent="0.5">
      <c r="B8" s="9" t="s">
        <v>254</v>
      </c>
    </row>
    <row r="9" spans="2:12" x14ac:dyDescent="0.45">
      <c r="B9" s="4">
        <f>oC_Cum</f>
        <v>67802209.489511192</v>
      </c>
      <c r="C9" s="4">
        <v>1</v>
      </c>
      <c r="D9" s="4">
        <v>2</v>
      </c>
      <c r="E9" s="4" t="s">
        <v>88</v>
      </c>
      <c r="F9" s="4" t="s">
        <v>255</v>
      </c>
      <c r="G9" s="4" t="s">
        <v>256</v>
      </c>
      <c r="H9" s="4" t="s">
        <v>257</v>
      </c>
      <c r="I9" s="4" t="s">
        <v>258</v>
      </c>
    </row>
    <row r="10" spans="2:12" x14ac:dyDescent="0.45">
      <c r="B10">
        <v>1</v>
      </c>
      <c r="C10" s="5">
        <f t="dataTable" ref="C10:D17" dt2D="1" dtr="1" r1="D5" r2="B5" ca="1"/>
        <v>79130295.624033734</v>
      </c>
      <c r="D10" s="5">
        <v>54208506.128084168</v>
      </c>
      <c r="E10" t="s">
        <v>259</v>
      </c>
      <c r="F10">
        <f>Inputs!F36</f>
        <v>0.25</v>
      </c>
      <c r="G10">
        <f>Inputs!G36</f>
        <v>0.8</v>
      </c>
      <c r="H10" s="5">
        <f t="shared" ref="H10:H17" si="0">MAX(ABS(C10-BaseC_Cum),ABS(D10-BaseC_Cum))</f>
        <v>13593703.361427024</v>
      </c>
      <c r="I10">
        <f t="shared" ref="I10:I17" si="1">RANK(H10,$H$10:$H$17)</f>
        <v>6</v>
      </c>
    </row>
    <row r="11" spans="2:12" x14ac:dyDescent="0.45">
      <c r="B11">
        <v>2</v>
      </c>
      <c r="C11" s="5">
        <v>43008933.981070369</v>
      </c>
      <c r="D11" s="5">
        <v>81395912.850938171</v>
      </c>
      <c r="E11" t="s">
        <v>260</v>
      </c>
      <c r="F11">
        <f>Inputs!F39</f>
        <v>0.03</v>
      </c>
      <c r="G11">
        <f>Inputs!G39</f>
        <v>0.08</v>
      </c>
      <c r="H11" s="5">
        <f t="shared" si="0"/>
        <v>24793275.508440822</v>
      </c>
      <c r="I11">
        <f t="shared" si="1"/>
        <v>4</v>
      </c>
    </row>
    <row r="12" spans="2:12" x14ac:dyDescent="0.45">
      <c r="B12">
        <v>3</v>
      </c>
      <c r="C12" s="5">
        <v>86619079.508093148</v>
      </c>
      <c r="D12" s="5">
        <v>37633728.444236055</v>
      </c>
      <c r="E12" t="s">
        <v>261</v>
      </c>
      <c r="F12">
        <f>Inputs!F37</f>
        <v>0.15</v>
      </c>
      <c r="G12">
        <f>Inputs!G37</f>
        <v>0.45</v>
      </c>
      <c r="H12" s="5">
        <f t="shared" si="0"/>
        <v>30168481.045275137</v>
      </c>
      <c r="I12">
        <f t="shared" si="1"/>
        <v>3</v>
      </c>
    </row>
    <row r="13" spans="2:12" x14ac:dyDescent="0.45">
      <c r="B13">
        <v>4</v>
      </c>
      <c r="C13" s="5">
        <v>91981473.949083686</v>
      </c>
      <c r="D13" s="5">
        <v>43899001.105031177</v>
      </c>
      <c r="E13" t="s">
        <v>262</v>
      </c>
      <c r="F13">
        <f>Inputs!F38</f>
        <v>0.25</v>
      </c>
      <c r="G13">
        <f>Inputs!G38</f>
        <v>0.6</v>
      </c>
      <c r="H13" s="5">
        <f t="shared" si="0"/>
        <v>24179264.459572494</v>
      </c>
      <c r="I13">
        <f t="shared" si="1"/>
        <v>5</v>
      </c>
    </row>
    <row r="14" spans="2:12" x14ac:dyDescent="0.45">
      <c r="B14">
        <v>5</v>
      </c>
      <c r="C14" s="5">
        <v>60531417.699371129</v>
      </c>
      <c r="D14" s="5">
        <v>70073673.580716729</v>
      </c>
      <c r="E14" t="s">
        <v>107</v>
      </c>
      <c r="F14">
        <f>Inputs!F41</f>
        <v>0.75</v>
      </c>
      <c r="G14">
        <f>Inputs!G41</f>
        <v>0.95</v>
      </c>
      <c r="H14" s="5">
        <f t="shared" si="0"/>
        <v>7270791.7901400626</v>
      </c>
      <c r="I14">
        <f t="shared" si="1"/>
        <v>7</v>
      </c>
    </row>
    <row r="15" spans="2:12" x14ac:dyDescent="0.45">
      <c r="B15">
        <v>6</v>
      </c>
      <c r="C15" s="5">
        <v>68425813.674998492</v>
      </c>
      <c r="D15" s="5">
        <v>62789060.969459318</v>
      </c>
      <c r="E15" t="s">
        <v>263</v>
      </c>
      <c r="F15">
        <f>Inputs!F42</f>
        <v>1500</v>
      </c>
      <c r="G15">
        <f>Inputs!G42</f>
        <v>4500</v>
      </c>
      <c r="H15" s="5">
        <f t="shared" si="0"/>
        <v>5013148.5200518742</v>
      </c>
      <c r="I15">
        <f t="shared" si="1"/>
        <v>8</v>
      </c>
    </row>
    <row r="16" spans="2:12" x14ac:dyDescent="0.45">
      <c r="B16">
        <v>7</v>
      </c>
      <c r="C16" s="5">
        <v>107611344.97226351</v>
      </c>
      <c r="D16" s="5">
        <v>27079787.400317263</v>
      </c>
      <c r="E16" t="s">
        <v>264</v>
      </c>
      <c r="F16">
        <f>Inputs!F43</f>
        <v>0.5</v>
      </c>
      <c r="G16">
        <f>Inputs!G43</f>
        <v>1.5</v>
      </c>
      <c r="H16" s="5">
        <f t="shared" si="0"/>
        <v>40722422.089193925</v>
      </c>
      <c r="I16">
        <f t="shared" si="1"/>
        <v>2</v>
      </c>
    </row>
    <row r="17" spans="2:9" x14ac:dyDescent="0.45">
      <c r="B17">
        <v>8</v>
      </c>
      <c r="C17" s="5">
        <v>-4960588.4247804871</v>
      </c>
      <c r="D17" s="5">
        <v>129579996.22906372</v>
      </c>
      <c r="E17" t="s">
        <v>265</v>
      </c>
      <c r="F17">
        <f>Inputs!F44</f>
        <v>0.5</v>
      </c>
      <c r="G17">
        <f>Inputs!G44</f>
        <v>1.5</v>
      </c>
      <c r="H17" s="5">
        <f t="shared" si="0"/>
        <v>72762797.91429168</v>
      </c>
      <c r="I17">
        <f t="shared" si="1"/>
        <v>1</v>
      </c>
    </row>
    <row r="18" spans="2:9" x14ac:dyDescent="0.45">
      <c r="E18" t="s">
        <v>266</v>
      </c>
      <c r="F18" t="s">
        <v>267</v>
      </c>
      <c r="G18" t="str">
        <f>INDEX({"k","tau","v","r","rho","otherRev","belowScale","upScale"},MATCH(1,$I$10:$I$17,0))</f>
        <v>upScale</v>
      </c>
    </row>
    <row r="19" spans="2:9" x14ac:dyDescent="0.45">
      <c r="E19" t="s">
        <v>268</v>
      </c>
      <c r="F19" t="s">
        <v>269</v>
      </c>
      <c r="G19" t="str">
        <f>INDEX({"k","tau","v","r","rho","otherRev","belowScale","upScale"},MATCH(2,$I$10:$I$17,0))</f>
        <v>belowScale</v>
      </c>
    </row>
    <row r="21" spans="2:9" ht="15.75" x14ac:dyDescent="0.5">
      <c r="B21" s="9" t="s">
        <v>270</v>
      </c>
    </row>
    <row r="22" spans="2:9" x14ac:dyDescent="0.45">
      <c r="B22" s="5">
        <f>oC_Cum</f>
        <v>67802209.489511192</v>
      </c>
      <c r="C22" s="25">
        <v>0.5</v>
      </c>
      <c r="D22" s="25">
        <v>0.75</v>
      </c>
      <c r="E22" s="25">
        <v>1</v>
      </c>
      <c r="F22" s="25">
        <v>1.25</v>
      </c>
      <c r="G22" s="25">
        <v>1.5</v>
      </c>
    </row>
    <row r="23" spans="2:9" x14ac:dyDescent="0.45">
      <c r="B23" s="25">
        <v>0.5</v>
      </c>
      <c r="C23" s="5">
        <f t="dataTable" ref="C23:G27" dt2D="1" dtr="1" r1="H5" r2="F5" ca="1"/>
        <v>34784579.310801789</v>
      </c>
      <c r="D23" s="5">
        <v>14906749.878176671</v>
      </c>
      <c r="E23" s="5">
        <v>-4960588.4247804871</v>
      </c>
      <c r="F23" s="5">
        <v>-24818641.148449413</v>
      </c>
      <c r="G23" s="5">
        <v>-44668435.948609084</v>
      </c>
    </row>
    <row r="24" spans="2:9" x14ac:dyDescent="0.45">
      <c r="B24" s="25">
        <v>0.75</v>
      </c>
      <c r="C24" s="5">
        <v>71318416.67104733</v>
      </c>
      <c r="D24" s="5">
        <v>51418387.586349487</v>
      </c>
      <c r="E24" s="5">
        <v>31529345.047300994</v>
      </c>
      <c r="F24" s="5">
        <v>11650153.147733998</v>
      </c>
      <c r="G24" s="5">
        <v>-8220172.6459112391</v>
      </c>
    </row>
    <row r="25" spans="2:9" x14ac:dyDescent="0.45">
      <c r="B25" s="25">
        <v>1</v>
      </c>
      <c r="C25" s="5">
        <v>107611344.97226351</v>
      </c>
      <c r="D25" s="5">
        <v>87701482.736687049</v>
      </c>
      <c r="E25" s="5">
        <v>67802209.489511192</v>
      </c>
      <c r="F25" s="5">
        <v>47866765.060282983</v>
      </c>
      <c r="G25" s="5">
        <v>27079787.400317263</v>
      </c>
    </row>
    <row r="26" spans="2:9" x14ac:dyDescent="0.45">
      <c r="B26" s="25">
        <v>1.25</v>
      </c>
      <c r="C26" s="5">
        <v>143147727.30878434</v>
      </c>
      <c r="D26" s="5">
        <v>121963517.65265889</v>
      </c>
      <c r="E26" s="5">
        <v>100445531.30472565</v>
      </c>
      <c r="F26" s="5">
        <v>79021480.095002532</v>
      </c>
      <c r="G26" s="5">
        <v>57683669.499366589</v>
      </c>
    </row>
    <row r="27" spans="2:9" x14ac:dyDescent="0.45">
      <c r="B27" s="25">
        <v>1.5</v>
      </c>
      <c r="C27" s="5">
        <v>172758478.06757206</v>
      </c>
      <c r="D27" s="5">
        <v>151122053.61692566</v>
      </c>
      <c r="E27" s="5">
        <v>129579996.22906372</v>
      </c>
      <c r="F27" s="5">
        <v>107979663.72935227</v>
      </c>
      <c r="G27" s="5">
        <v>86202890.47037977</v>
      </c>
    </row>
    <row r="31" spans="2:9" ht="15.75" x14ac:dyDescent="0.5">
      <c r="B31" s="9" t="s">
        <v>271</v>
      </c>
    </row>
    <row r="32" spans="2:9" x14ac:dyDescent="0.45">
      <c r="B32" s="5">
        <f>oC_Cum-oB_Cum</f>
        <v>43523620.227796838</v>
      </c>
      <c r="C32" s="25">
        <v>0.5</v>
      </c>
      <c r="D32" s="25">
        <v>0.75</v>
      </c>
      <c r="E32" s="25">
        <v>1</v>
      </c>
      <c r="F32" s="25">
        <v>1.25</v>
      </c>
      <c r="G32" s="25">
        <v>1.5</v>
      </c>
      <c r="H32" s="8" t="s">
        <v>272</v>
      </c>
      <c r="I32" s="5">
        <f>MIN(C33:G37)</f>
        <v>16755454.239636663</v>
      </c>
    </row>
    <row r="33" spans="2:7" x14ac:dyDescent="0.45">
      <c r="B33" s="25">
        <v>0.5</v>
      </c>
      <c r="C33" s="5">
        <f t="dataTable" ref="C33:G37" dt2D="1" dtr="1" r1="H5" r2="F5" ca="1"/>
        <v>16755454.239636663</v>
      </c>
      <c r="D33" s="5">
        <v>17501758.587018915</v>
      </c>
      <c r="E33" s="5">
        <v>18188613.199616145</v>
      </c>
      <c r="F33" s="5">
        <v>18822849.529579923</v>
      </c>
      <c r="G33" s="5">
        <v>19410290.95965825</v>
      </c>
    </row>
    <row r="34" spans="2:7" x14ac:dyDescent="0.45">
      <c r="B34" s="25">
        <v>0.75</v>
      </c>
      <c r="C34" s="5">
        <v>28559140.136161774</v>
      </c>
      <c r="D34" s="5">
        <v>29431242.511956215</v>
      </c>
      <c r="E34" s="5">
        <v>30241087.79573765</v>
      </c>
      <c r="F34" s="5">
        <v>30995112.789124046</v>
      </c>
      <c r="G34" s="5">
        <v>31698896.515620373</v>
      </c>
    </row>
    <row r="35" spans="2:7" x14ac:dyDescent="0.45">
      <c r="B35" s="25">
        <v>1</v>
      </c>
      <c r="C35" s="5">
        <v>41727977.367187068</v>
      </c>
      <c r="D35" s="5">
        <v>42655800.931293339</v>
      </c>
      <c r="E35" s="5">
        <v>43523620.227796838</v>
      </c>
      <c r="F35" s="5">
        <v>44378470.180898264</v>
      </c>
      <c r="G35" s="5">
        <v>45053650.132874623</v>
      </c>
    </row>
    <row r="36" spans="2:7" x14ac:dyDescent="0.45">
      <c r="B36" s="25">
        <v>1.25</v>
      </c>
      <c r="C36" s="5">
        <v>55913778.933674634</v>
      </c>
      <c r="D36" s="5">
        <v>56594771.561506025</v>
      </c>
      <c r="E36" s="5">
        <v>56816725.801665492</v>
      </c>
      <c r="F36" s="5">
        <v>57018141.259984776</v>
      </c>
      <c r="G36" s="5">
        <v>57200907.005264372</v>
      </c>
    </row>
    <row r="37" spans="2:7" x14ac:dyDescent="0.45">
      <c r="B37" s="25">
        <v>1.5</v>
      </c>
      <c r="C37" s="5">
        <v>68543775.053775802</v>
      </c>
      <c r="D37" s="5">
        <v>68755392.081962377</v>
      </c>
      <c r="E37" s="5">
        <v>68946965.919730157</v>
      </c>
      <c r="F37" s="5">
        <v>69251673.130951539</v>
      </c>
      <c r="G37" s="5">
        <v>69771063.598487288</v>
      </c>
    </row>
    <row r="44" spans="2:7" ht="15.75" x14ac:dyDescent="0.5">
      <c r="B44" s="9" t="s">
        <v>273</v>
      </c>
    </row>
    <row r="45" spans="2:7" x14ac:dyDescent="0.45">
      <c r="B45" s="4" t="s">
        <v>274</v>
      </c>
      <c r="C45" s="4">
        <f>oC_Cum-oB_Cum</f>
        <v>43523620.227796838</v>
      </c>
      <c r="D45" s="4">
        <f>oC_Cum-oA_Cum</f>
        <v>60724106.67708464</v>
      </c>
      <c r="E45" s="4" t="s">
        <v>275</v>
      </c>
    </row>
    <row r="46" spans="2:7" x14ac:dyDescent="0.45">
      <c r="B46" s="16">
        <v>0</v>
      </c>
      <c r="C46" s="5">
        <f t="dataTable" ref="C46:D76" dt2D="0" dtr="0" r1="J5" ca="1"/>
        <v>66179792.496841863</v>
      </c>
      <c r="D46" s="5">
        <v>37835927.887556165</v>
      </c>
    </row>
    <row r="47" spans="2:7" x14ac:dyDescent="0.45">
      <c r="B47" s="16">
        <v>0.1</v>
      </c>
      <c r="C47" s="5">
        <v>61648558.04303284</v>
      </c>
      <c r="D47" s="5">
        <v>42413563.64546188</v>
      </c>
      <c r="E47" s="26" t="str">
        <f t="shared" ref="E47:E76" si="2">IF(AND(C46&gt;0,C47&lt;=0),B46+(B47-B46)*C46/(C46-C47),"")</f>
        <v/>
      </c>
    </row>
    <row r="48" spans="2:7" x14ac:dyDescent="0.45">
      <c r="B48" s="16">
        <v>0.2</v>
      </c>
      <c r="C48" s="5">
        <v>57117323.589223817</v>
      </c>
      <c r="D48" s="5">
        <v>46991199.40336746</v>
      </c>
      <c r="E48" s="26" t="str">
        <f t="shared" si="2"/>
        <v/>
      </c>
    </row>
    <row r="49" spans="2:5" x14ac:dyDescent="0.45">
      <c r="B49" s="16">
        <v>0.3</v>
      </c>
      <c r="C49" s="5">
        <v>52586089.135414854</v>
      </c>
      <c r="D49" s="5">
        <v>51568835.161273241</v>
      </c>
      <c r="E49" s="26" t="str">
        <f t="shared" si="2"/>
        <v/>
      </c>
    </row>
    <row r="50" spans="2:5" x14ac:dyDescent="0.45">
      <c r="B50" s="16">
        <v>0.4</v>
      </c>
      <c r="C50" s="5">
        <v>48054854.681605831</v>
      </c>
      <c r="D50" s="5">
        <v>56146470.919178888</v>
      </c>
      <c r="E50" s="26" t="str">
        <f t="shared" si="2"/>
        <v/>
      </c>
    </row>
    <row r="51" spans="2:5" x14ac:dyDescent="0.45">
      <c r="B51" s="16">
        <v>0.5</v>
      </c>
      <c r="C51" s="5">
        <v>43523620.227796838</v>
      </c>
      <c r="D51" s="5">
        <v>60724106.67708464</v>
      </c>
      <c r="E51" s="26" t="str">
        <f t="shared" si="2"/>
        <v/>
      </c>
    </row>
    <row r="52" spans="2:5" x14ac:dyDescent="0.45">
      <c r="B52" s="16">
        <v>0.6</v>
      </c>
      <c r="C52" s="5">
        <v>38992385.773987785</v>
      </c>
      <c r="D52" s="5">
        <v>65301742.434990242</v>
      </c>
      <c r="E52" s="26" t="str">
        <f t="shared" si="2"/>
        <v/>
      </c>
    </row>
    <row r="53" spans="2:5" x14ac:dyDescent="0.45">
      <c r="B53" s="16">
        <v>0.7</v>
      </c>
      <c r="C53" s="5">
        <v>34461151.320178792</v>
      </c>
      <c r="D53" s="5">
        <v>69879378.192895934</v>
      </c>
      <c r="E53" s="26" t="str">
        <f t="shared" si="2"/>
        <v/>
      </c>
    </row>
    <row r="54" spans="2:5" x14ac:dyDescent="0.45">
      <c r="B54" s="16">
        <v>0.8</v>
      </c>
      <c r="C54" s="5">
        <v>29929916.866369817</v>
      </c>
      <c r="D54" s="5">
        <v>74457013.950801626</v>
      </c>
      <c r="E54" s="26" t="str">
        <f t="shared" si="2"/>
        <v/>
      </c>
    </row>
    <row r="55" spans="2:5" x14ac:dyDescent="0.45">
      <c r="B55" s="16">
        <v>0.9</v>
      </c>
      <c r="C55" s="5">
        <v>25398682.41256078</v>
      </c>
      <c r="D55" s="5">
        <v>79034649.708707392</v>
      </c>
      <c r="E55" s="26" t="str">
        <f t="shared" si="2"/>
        <v/>
      </c>
    </row>
    <row r="56" spans="2:5" x14ac:dyDescent="0.45">
      <c r="B56" s="16">
        <v>1</v>
      </c>
      <c r="C56" s="5">
        <v>20867447.958751772</v>
      </c>
      <c r="D56" s="5">
        <v>83612285.466613069</v>
      </c>
      <c r="E56" s="26" t="str">
        <f t="shared" si="2"/>
        <v/>
      </c>
    </row>
    <row r="57" spans="2:5" x14ac:dyDescent="0.45">
      <c r="B57" s="16">
        <v>1.1000000000000001</v>
      </c>
      <c r="C57" s="5">
        <v>16336213.504942726</v>
      </c>
      <c r="D57" s="5">
        <v>88189921.224518687</v>
      </c>
      <c r="E57" s="26" t="str">
        <f t="shared" si="2"/>
        <v/>
      </c>
    </row>
    <row r="58" spans="2:5" x14ac:dyDescent="0.45">
      <c r="B58" s="16">
        <v>1.2</v>
      </c>
      <c r="C58" s="5">
        <v>11804979.051133756</v>
      </c>
      <c r="D58" s="5">
        <v>92767556.982424378</v>
      </c>
      <c r="E58" s="26" t="str">
        <f t="shared" si="2"/>
        <v/>
      </c>
    </row>
    <row r="59" spans="2:5" x14ac:dyDescent="0.45">
      <c r="B59" s="16">
        <v>1.3</v>
      </c>
      <c r="C59" s="5">
        <v>7273744.5973247699</v>
      </c>
      <c r="D59" s="5">
        <v>97345192.74033007</v>
      </c>
      <c r="E59" s="26" t="str">
        <f t="shared" si="2"/>
        <v/>
      </c>
    </row>
    <row r="60" spans="2:5" x14ac:dyDescent="0.45">
      <c r="B60" s="16">
        <v>1.4</v>
      </c>
      <c r="C60" s="5">
        <v>2742510.1435158439</v>
      </c>
      <c r="D60" s="5">
        <v>101922828.49823591</v>
      </c>
      <c r="E60" s="26" t="str">
        <f t="shared" si="2"/>
        <v/>
      </c>
    </row>
    <row r="61" spans="2:5" x14ac:dyDescent="0.45">
      <c r="B61" s="16">
        <v>1.5</v>
      </c>
      <c r="C61" s="5">
        <v>-1788724.3102931865</v>
      </c>
      <c r="D61" s="5">
        <v>106500464.25614154</v>
      </c>
      <c r="E61" s="26">
        <f t="shared" si="2"/>
        <v>1.4605245694406839</v>
      </c>
    </row>
    <row r="62" spans="2:5" x14ac:dyDescent="0.45">
      <c r="B62" s="16">
        <v>1.6</v>
      </c>
      <c r="C62" s="5">
        <v>-6319958.7641023211</v>
      </c>
      <c r="D62" s="5">
        <v>111078100.01404715</v>
      </c>
      <c r="E62" s="26" t="str">
        <f t="shared" si="2"/>
        <v/>
      </c>
    </row>
    <row r="63" spans="2:5" x14ac:dyDescent="0.45">
      <c r="B63" s="16">
        <v>1.7</v>
      </c>
      <c r="C63" s="5">
        <v>-10851193.21791124</v>
      </c>
      <c r="D63" s="5">
        <v>115655735.7719529</v>
      </c>
      <c r="E63" s="26" t="str">
        <f t="shared" si="2"/>
        <v/>
      </c>
    </row>
    <row r="64" spans="2:5" x14ac:dyDescent="0.45">
      <c r="B64" s="16">
        <v>1.8</v>
      </c>
      <c r="C64" s="5">
        <v>-15382427.67172021</v>
      </c>
      <c r="D64" s="5">
        <v>120233371.52985859</v>
      </c>
      <c r="E64" s="26" t="str">
        <f t="shared" si="2"/>
        <v/>
      </c>
    </row>
    <row r="65" spans="2:5" x14ac:dyDescent="0.45">
      <c r="B65" s="16">
        <v>1.9</v>
      </c>
      <c r="C65" s="5">
        <v>-19913662.125529196</v>
      </c>
      <c r="D65" s="5">
        <v>124811007.28776436</v>
      </c>
      <c r="E65" s="26" t="str">
        <f t="shared" si="2"/>
        <v/>
      </c>
    </row>
    <row r="66" spans="2:5" x14ac:dyDescent="0.45">
      <c r="B66" s="16">
        <v>2</v>
      </c>
      <c r="C66" s="5">
        <v>-24444896.579338256</v>
      </c>
      <c r="D66" s="5">
        <v>129388643.04566994</v>
      </c>
      <c r="E66" s="26" t="str">
        <f t="shared" si="2"/>
        <v/>
      </c>
    </row>
    <row r="67" spans="2:5" x14ac:dyDescent="0.45">
      <c r="B67" s="16">
        <v>2.1</v>
      </c>
      <c r="C67" s="5">
        <v>-28976131.033147294</v>
      </c>
      <c r="D67" s="5">
        <v>133966278.80357561</v>
      </c>
      <c r="E67" s="26" t="str">
        <f t="shared" si="2"/>
        <v/>
      </c>
    </row>
    <row r="68" spans="2:5" x14ac:dyDescent="0.45">
      <c r="B68" s="16">
        <v>2.2000000000000002</v>
      </c>
      <c r="C68" s="5">
        <v>-33507365.486956283</v>
      </c>
      <c r="D68" s="5">
        <v>138543914.56148133</v>
      </c>
      <c r="E68" s="26" t="str">
        <f t="shared" si="2"/>
        <v/>
      </c>
    </row>
    <row r="69" spans="2:5" x14ac:dyDescent="0.45">
      <c r="B69" s="16">
        <v>2.2999999999999998</v>
      </c>
      <c r="C69" s="5">
        <v>-38038599.940765254</v>
      </c>
      <c r="D69" s="5">
        <v>143121550.31938699</v>
      </c>
      <c r="E69" s="26" t="str">
        <f t="shared" si="2"/>
        <v/>
      </c>
    </row>
    <row r="70" spans="2:5" x14ac:dyDescent="0.45">
      <c r="B70" s="16">
        <v>2.4</v>
      </c>
      <c r="C70" s="5">
        <v>-42569834.39457427</v>
      </c>
      <c r="D70" s="5">
        <v>147699186.07729277</v>
      </c>
      <c r="E70" s="26" t="str">
        <f t="shared" si="2"/>
        <v/>
      </c>
    </row>
    <row r="71" spans="2:5" x14ac:dyDescent="0.45">
      <c r="B71" s="16">
        <v>2.5</v>
      </c>
      <c r="C71" s="5">
        <v>-47101068.848383307</v>
      </c>
      <c r="D71" s="5">
        <v>152276821.8351984</v>
      </c>
      <c r="E71" s="26" t="str">
        <f t="shared" si="2"/>
        <v/>
      </c>
    </row>
    <row r="72" spans="2:5" x14ac:dyDescent="0.45">
      <c r="B72" s="16">
        <v>2.6</v>
      </c>
      <c r="C72" s="5">
        <v>-51632303.302192345</v>
      </c>
      <c r="D72" s="5">
        <v>156854457.59310406</v>
      </c>
      <c r="E72" s="26" t="str">
        <f t="shared" si="2"/>
        <v/>
      </c>
    </row>
    <row r="73" spans="2:5" x14ac:dyDescent="0.45">
      <c r="B73" s="16">
        <v>2.7</v>
      </c>
      <c r="C73" s="5">
        <v>-56163537.756001338</v>
      </c>
      <c r="D73" s="5">
        <v>161432093.35100982</v>
      </c>
      <c r="E73" s="26" t="str">
        <f t="shared" si="2"/>
        <v/>
      </c>
    </row>
    <row r="74" spans="2:5" x14ac:dyDescent="0.45">
      <c r="B74" s="16">
        <v>2.8</v>
      </c>
      <c r="C74" s="5">
        <v>-60694772.209810331</v>
      </c>
      <c r="D74" s="5">
        <v>166009729.10891554</v>
      </c>
      <c r="E74" s="26" t="str">
        <f t="shared" si="2"/>
        <v/>
      </c>
    </row>
    <row r="75" spans="2:5" x14ac:dyDescent="0.45">
      <c r="B75" s="16">
        <v>2.9</v>
      </c>
      <c r="C75" s="5">
        <v>-65226006.663619369</v>
      </c>
      <c r="D75" s="5">
        <v>170587364.86682105</v>
      </c>
      <c r="E75" s="26" t="str">
        <f t="shared" si="2"/>
        <v/>
      </c>
    </row>
    <row r="76" spans="2:5" x14ac:dyDescent="0.45">
      <c r="B76" s="16">
        <v>3</v>
      </c>
      <c r="C76" s="5">
        <v>-69757241.117428362</v>
      </c>
      <c r="D76" s="5">
        <v>175165000.62472683</v>
      </c>
      <c r="E76" s="26" t="str">
        <f t="shared" si="2"/>
        <v/>
      </c>
    </row>
    <row r="77" spans="2:5" x14ac:dyDescent="0.45">
      <c r="B77" t="s">
        <v>276</v>
      </c>
      <c r="E77" s="26">
        <f>IF(COUNT(E46:E76)=0,"none",MIN(E46:E76))</f>
        <v>1.4605245694406839</v>
      </c>
    </row>
    <row r="78" spans="2:5" x14ac:dyDescent="0.45">
      <c r="B78" t="s">
        <v>277</v>
      </c>
      <c r="E78" s="7">
        <f>IF(ISNUMBER(KStar),KStar*(Inputs!D40-Inputs!D39),"none")</f>
        <v>7.3026228472034202E-2</v>
      </c>
    </row>
    <row r="80" spans="2:5" ht="15.75" x14ac:dyDescent="0.5">
      <c r="B80" s="9" t="s">
        <v>278</v>
      </c>
    </row>
    <row r="81" spans="2:3" x14ac:dyDescent="0.45">
      <c r="B81" s="4" t="s">
        <v>279</v>
      </c>
      <c r="C81" s="4">
        <f>oC_Cum</f>
        <v>67802209.489511192</v>
      </c>
    </row>
    <row r="82" spans="2:3" x14ac:dyDescent="0.45">
      <c r="B82" s="7">
        <v>0</v>
      </c>
      <c r="C82" s="5">
        <f t="dataTable" ref="C82:C94" dt2D="0" dtr="0" r1="L5"/>
        <v>-78984514.661760002</v>
      </c>
    </row>
    <row r="83" spans="2:3" x14ac:dyDescent="0.45">
      <c r="B83" s="7">
        <v>2.5000000000000001E-2</v>
      </c>
      <c r="C83" s="5">
        <v>15378911.25710411</v>
      </c>
    </row>
    <row r="84" spans="2:3" x14ac:dyDescent="0.45">
      <c r="B84" s="7">
        <v>0.05</v>
      </c>
      <c r="C84" s="5">
        <v>64702404.621972255</v>
      </c>
    </row>
    <row r="85" spans="2:3" x14ac:dyDescent="0.45">
      <c r="B85" s="7">
        <v>7.4999999999999997E-2</v>
      </c>
      <c r="C85" s="5">
        <v>66823206.111293085</v>
      </c>
    </row>
    <row r="86" spans="2:3" x14ac:dyDescent="0.45">
      <c r="B86" s="7">
        <v>0.1</v>
      </c>
      <c r="C86" s="5">
        <v>67802209.489511192</v>
      </c>
    </row>
    <row r="87" spans="2:3" x14ac:dyDescent="0.45">
      <c r="B87" s="7">
        <v>0.125</v>
      </c>
      <c r="C87" s="5">
        <v>62891302.577845991</v>
      </c>
    </row>
    <row r="88" spans="2:3" x14ac:dyDescent="0.45">
      <c r="B88" s="7">
        <v>0.15</v>
      </c>
      <c r="C88" s="5">
        <v>58115171.275094867</v>
      </c>
    </row>
    <row r="89" spans="2:3" x14ac:dyDescent="0.45">
      <c r="B89" s="7">
        <v>0.17499999999999999</v>
      </c>
      <c r="C89" s="5">
        <v>58002329.370666549</v>
      </c>
    </row>
    <row r="90" spans="2:3" x14ac:dyDescent="0.45">
      <c r="B90" s="7">
        <v>0.2</v>
      </c>
      <c r="C90" s="5">
        <v>58002329.370666549</v>
      </c>
    </row>
    <row r="91" spans="2:3" x14ac:dyDescent="0.45">
      <c r="B91" s="7">
        <v>0.22500000000000001</v>
      </c>
      <c r="C91" s="5">
        <v>58002329.370666549</v>
      </c>
    </row>
    <row r="92" spans="2:3" x14ac:dyDescent="0.45">
      <c r="B92" s="7">
        <v>0.25</v>
      </c>
      <c r="C92" s="5">
        <v>58002329.370666549</v>
      </c>
    </row>
    <row r="93" spans="2:3" x14ac:dyDescent="0.45">
      <c r="B93" s="7">
        <v>0.27500000000000002</v>
      </c>
      <c r="C93" s="5">
        <v>58002329.370666549</v>
      </c>
    </row>
    <row r="94" spans="2:3" x14ac:dyDescent="0.45">
      <c r="B94" s="7">
        <v>0.3</v>
      </c>
      <c r="C94" s="5">
        <v>58002329.370666549</v>
      </c>
    </row>
    <row r="95" spans="2:3" x14ac:dyDescent="0.45">
      <c r="B95" t="s">
        <v>280</v>
      </c>
      <c r="C95" s="7">
        <f>INDEX(B82:B94,MATCH(MAX(C82:C94),C82:C94,0))</f>
        <v>0.1</v>
      </c>
    </row>
    <row r="96" spans="2:3" x14ac:dyDescent="0.45">
      <c r="B96" t="s">
        <v>281</v>
      </c>
      <c r="C96" s="5">
        <f>MAX(C82:C94)</f>
        <v>67802209.489511192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G18"/>
  <sheetViews>
    <sheetView workbookViewId="0"/>
  </sheetViews>
  <sheetFormatPr defaultRowHeight="14.25" x14ac:dyDescent="0.45"/>
  <cols>
    <col min="1" max="1" width="2" customWidth="1"/>
    <col min="2" max="3" width="14" customWidth="1"/>
    <col min="4" max="4" width="18" customWidth="1"/>
    <col min="5" max="5" width="16" customWidth="1"/>
    <col min="6" max="6" width="20" customWidth="1"/>
    <col min="7" max="7" width="24" customWidth="1"/>
    <col min="8" max="8" width="120" customWidth="1"/>
  </cols>
  <sheetData>
    <row r="1" spans="2:7" ht="18" x14ac:dyDescent="0.55000000000000004">
      <c r="B1" s="1" t="s">
        <v>282</v>
      </c>
    </row>
    <row r="2" spans="2:7" x14ac:dyDescent="0.45">
      <c r="B2" s="2" t="s">
        <v>283</v>
      </c>
    </row>
    <row r="4" spans="2:7" ht="28.5" x14ac:dyDescent="0.45">
      <c r="B4" s="4" t="s">
        <v>284</v>
      </c>
      <c r="C4" s="4" t="s">
        <v>127</v>
      </c>
      <c r="D4" s="4" t="s">
        <v>285</v>
      </c>
      <c r="E4" s="4" t="s">
        <v>286</v>
      </c>
      <c r="F4" s="4" t="s">
        <v>287</v>
      </c>
      <c r="G4" s="4" t="s">
        <v>288</v>
      </c>
    </row>
    <row r="5" spans="2:7" x14ac:dyDescent="0.45">
      <c r="B5">
        <v>2023</v>
      </c>
      <c r="C5" s="11">
        <v>205091</v>
      </c>
      <c r="D5" s="12">
        <v>11384</v>
      </c>
      <c r="E5" s="13">
        <v>1.0389999999999999</v>
      </c>
      <c r="F5" s="27">
        <v>2123479000</v>
      </c>
      <c r="G5" t="s">
        <v>36</v>
      </c>
    </row>
    <row r="6" spans="2:7" x14ac:dyDescent="0.45">
      <c r="B6">
        <v>2024</v>
      </c>
      <c r="C6" s="11">
        <v>247939</v>
      </c>
      <c r="D6" s="12">
        <v>11343</v>
      </c>
      <c r="E6" s="13">
        <v>1.022</v>
      </c>
      <c r="F6" s="27">
        <v>2569546000</v>
      </c>
      <c r="G6" t="s">
        <v>289</v>
      </c>
    </row>
    <row r="7" spans="2:7" x14ac:dyDescent="0.45">
      <c r="B7">
        <v>2025</v>
      </c>
      <c r="C7" s="11">
        <v>288706</v>
      </c>
      <c r="D7" s="12">
        <v>11414</v>
      </c>
      <c r="E7" s="13">
        <v>1.0349999999999999</v>
      </c>
      <c r="F7" s="27">
        <v>3063917000</v>
      </c>
      <c r="G7" t="s">
        <v>290</v>
      </c>
    </row>
    <row r="8" spans="2:7" x14ac:dyDescent="0.45">
      <c r="B8" s="8" t="s">
        <v>291</v>
      </c>
    </row>
    <row r="10" spans="2:7" ht="28.5" x14ac:dyDescent="0.45">
      <c r="B10" s="4" t="s">
        <v>292</v>
      </c>
      <c r="C10" s="4" t="s">
        <v>285</v>
      </c>
      <c r="D10" s="4" t="s">
        <v>293</v>
      </c>
      <c r="E10" s="4" t="s">
        <v>294</v>
      </c>
      <c r="F10" s="4" t="s">
        <v>295</v>
      </c>
      <c r="G10" s="4" t="s">
        <v>296</v>
      </c>
    </row>
    <row r="11" spans="2:7" x14ac:dyDescent="0.45">
      <c r="B11" t="s">
        <v>297</v>
      </c>
      <c r="C11" s="12">
        <v>11447</v>
      </c>
      <c r="D11" s="12">
        <v>11365</v>
      </c>
      <c r="E11" s="7">
        <f t="shared" ref="E11:E18" si="0">C11/D11-1</f>
        <v>7.2151341838979643E-3</v>
      </c>
      <c r="F11" t="s">
        <v>298</v>
      </c>
      <c r="G11" s="8" t="s">
        <v>299</v>
      </c>
    </row>
    <row r="12" spans="2:7" x14ac:dyDescent="0.45">
      <c r="B12" t="s">
        <v>300</v>
      </c>
      <c r="C12" s="12">
        <v>11215</v>
      </c>
      <c r="D12" s="12">
        <v>11432</v>
      </c>
      <c r="E12" s="7">
        <f t="shared" si="0"/>
        <v>-1.8981805458362477E-2</v>
      </c>
      <c r="F12" t="s">
        <v>301</v>
      </c>
      <c r="G12" s="8" t="s">
        <v>302</v>
      </c>
    </row>
    <row r="13" spans="2:7" x14ac:dyDescent="0.45">
      <c r="B13" t="s">
        <v>303</v>
      </c>
      <c r="C13" s="12">
        <v>11235</v>
      </c>
      <c r="D13" s="12">
        <v>11520</v>
      </c>
      <c r="E13" s="7">
        <f t="shared" si="0"/>
        <v>-2.473958333333337E-2</v>
      </c>
      <c r="F13" t="s">
        <v>304</v>
      </c>
      <c r="G13" s="8" t="s">
        <v>302</v>
      </c>
    </row>
    <row r="14" spans="2:7" x14ac:dyDescent="0.45">
      <c r="B14" t="s">
        <v>305</v>
      </c>
      <c r="C14" s="12">
        <v>11038</v>
      </c>
      <c r="D14" s="12">
        <v>11447</v>
      </c>
      <c r="E14" s="7">
        <f t="shared" si="0"/>
        <v>-3.5729885559535268E-2</v>
      </c>
      <c r="F14" t="s">
        <v>306</v>
      </c>
      <c r="G14" s="8" t="s">
        <v>307</v>
      </c>
    </row>
    <row r="15" spans="2:7" x14ac:dyDescent="0.45">
      <c r="B15" t="s">
        <v>308</v>
      </c>
      <c r="C15" s="12">
        <v>11310</v>
      </c>
      <c r="D15" s="12">
        <v>11215</v>
      </c>
      <c r="E15" s="7">
        <f t="shared" si="0"/>
        <v>8.4707980383416093E-3</v>
      </c>
      <c r="F15" t="s">
        <v>309</v>
      </c>
      <c r="G15" s="8" t="s">
        <v>310</v>
      </c>
    </row>
    <row r="16" spans="2:7" x14ac:dyDescent="0.45">
      <c r="B16" t="s">
        <v>311</v>
      </c>
      <c r="C16" s="12">
        <v>11578</v>
      </c>
      <c r="D16" s="12">
        <v>11235</v>
      </c>
      <c r="E16" s="7">
        <f t="shared" si="0"/>
        <v>3.0529595015576394E-2</v>
      </c>
      <c r="F16" t="s">
        <v>312</v>
      </c>
      <c r="G16" s="8" t="s">
        <v>310</v>
      </c>
    </row>
    <row r="17" spans="2:7" x14ac:dyDescent="0.45">
      <c r="B17" t="s">
        <v>313</v>
      </c>
      <c r="C17" s="12">
        <v>11722</v>
      </c>
      <c r="D17" s="12">
        <v>11038</v>
      </c>
      <c r="E17" s="7">
        <f t="shared" si="0"/>
        <v>6.1967747780395044E-2</v>
      </c>
      <c r="F17" t="s">
        <v>314</v>
      </c>
      <c r="G17" s="8" t="s">
        <v>315</v>
      </c>
    </row>
    <row r="18" spans="2:7" x14ac:dyDescent="0.45">
      <c r="B18" t="s">
        <v>316</v>
      </c>
      <c r="C18" s="12">
        <v>11800</v>
      </c>
      <c r="D18" s="12">
        <v>11310</v>
      </c>
      <c r="E18" s="7">
        <f t="shared" si="0"/>
        <v>4.3324491600353676E-2</v>
      </c>
      <c r="F18" t="s">
        <v>317</v>
      </c>
      <c r="G18" s="8" t="s">
        <v>318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E26"/>
  <sheetViews>
    <sheetView workbookViewId="0"/>
  </sheetViews>
  <sheetFormatPr defaultRowHeight="14.25" x14ac:dyDescent="0.45"/>
  <cols>
    <col min="1" max="1" width="2" customWidth="1"/>
    <col min="2" max="2" width="84" customWidth="1"/>
    <col min="3" max="5" width="16" customWidth="1"/>
  </cols>
  <sheetData>
    <row r="1" spans="2:5" ht="18" x14ac:dyDescent="0.55000000000000004">
      <c r="B1" s="1" t="s">
        <v>319</v>
      </c>
    </row>
    <row r="2" spans="2:5" x14ac:dyDescent="0.45">
      <c r="B2" s="2" t="s">
        <v>320</v>
      </c>
    </row>
    <row r="4" spans="2:5" x14ac:dyDescent="0.45">
      <c r="B4" s="4" t="s">
        <v>321</v>
      </c>
      <c r="C4" s="4" t="s">
        <v>28</v>
      </c>
      <c r="D4" s="4" t="s">
        <v>322</v>
      </c>
      <c r="E4" s="4" t="s">
        <v>323</v>
      </c>
    </row>
    <row r="5" spans="2:5" x14ac:dyDescent="0.45">
      <c r="B5" t="s">
        <v>324</v>
      </c>
      <c r="C5">
        <f>NSeg+NOther</f>
        <v>205091</v>
      </c>
      <c r="D5">
        <f>F_cust</f>
        <v>205091</v>
      </c>
      <c r="E5" t="str">
        <f>IF(ABS(C5-D5)&lt;=MAX(0.5,ABS(D5)*0.000000001),"OK","FAIL")</f>
        <v>OK</v>
      </c>
    </row>
    <row r="6" spans="2:5" x14ac:dyDescent="0.45">
      <c r="B6" t="s">
        <v>325</v>
      </c>
      <c r="C6">
        <f>Plug</f>
        <v>1132401752.8600001</v>
      </c>
      <c r="D6">
        <v>0</v>
      </c>
      <c r="E6" t="str">
        <f>IF(C6&gt;=D6,"OK","FAIL")</f>
        <v>OK</v>
      </c>
    </row>
    <row r="7" spans="2:5" x14ac:dyDescent="0.45">
      <c r="B7" t="s">
        <v>326</v>
      </c>
      <c r="C7">
        <f>SUMPRODUCT(Model!$F$16:$F$26,Model!$M$16:$M$26)+NOther*D_otherRev</f>
        <v>2334755944.0000005</v>
      </c>
      <c r="D7">
        <f>BaseRunRate</f>
        <v>2334755944</v>
      </c>
      <c r="E7" t="str">
        <f t="shared" ref="E7:E18" si="0">IF(ABS(C7-D7)&lt;=MAX(0.5,ABS(D7)*0.000000001),"OK","FAIL")</f>
        <v>OK</v>
      </c>
    </row>
    <row r="8" spans="2:5" x14ac:dyDescent="0.45">
      <c r="B8" t="s">
        <v>327</v>
      </c>
      <c r="C8">
        <f>P_sp_base</f>
        <v>450</v>
      </c>
      <c r="D8">
        <f>P_sp_seat*P_sp_inc</f>
        <v>450</v>
      </c>
      <c r="E8" t="str">
        <f t="shared" si="0"/>
        <v>OK</v>
      </c>
    </row>
    <row r="9" spans="2:5" x14ac:dyDescent="0.45">
      <c r="B9" t="s">
        <v>328</v>
      </c>
      <c r="C9">
        <f>P_se_base</f>
        <v>1500</v>
      </c>
      <c r="D9">
        <f>P_se_seat*P_se_inc</f>
        <v>1500</v>
      </c>
      <c r="E9" t="str">
        <f t="shared" si="0"/>
        <v>OK</v>
      </c>
    </row>
    <row r="10" spans="2:5" x14ac:dyDescent="0.45">
      <c r="B10" t="s">
        <v>329</v>
      </c>
      <c r="C10">
        <f>P_sp_add+P_se_add</f>
        <v>240</v>
      </c>
      <c r="D10">
        <f>P_sp_seat+P_se_seat</f>
        <v>240</v>
      </c>
      <c r="E10" t="str">
        <f t="shared" si="0"/>
        <v>OK</v>
      </c>
    </row>
    <row r="11" spans="2:5" x14ac:dyDescent="0.45">
      <c r="B11" t="s">
        <v>330</v>
      </c>
      <c r="C11">
        <f>oA_Risk</f>
        <v>-43302913.740000002</v>
      </c>
      <c r="D11">
        <f>GrossRisk</f>
        <v>-43302913.740000002</v>
      </c>
      <c r="E11" t="str">
        <f t="shared" si="0"/>
        <v>OK</v>
      </c>
    </row>
    <row r="12" spans="2:5" x14ac:dyDescent="0.45">
      <c r="B12" t="s">
        <v>331</v>
      </c>
      <c r="C12">
        <f>oA_Cum+oB_Cum+oC_Cum</f>
        <v>99158901.563652098</v>
      </c>
      <c r="D12">
        <f>oA_Y1+oA_Y2+oA_Y3+oB_Y1+oB_Y2+oB_Y3+oC_Y1+oC_Y2+oC_Y3</f>
        <v>99158901.563652098</v>
      </c>
      <c r="E12" t="str">
        <f t="shared" si="0"/>
        <v>OK</v>
      </c>
    </row>
    <row r="13" spans="2:5" x14ac:dyDescent="0.45">
      <c r="B13" t="s">
        <v>332</v>
      </c>
      <c r="C13">
        <f>oA_Up+oA_Risk+oB_Up+oB_Risk+oC_Up+oC_Risk</f>
        <v>22064038.619376265</v>
      </c>
      <c r="D13">
        <f>oA_Y3+oB_Y3+oC_Y3</f>
        <v>22064038.619376268</v>
      </c>
      <c r="E13" t="str">
        <f t="shared" si="0"/>
        <v>OK</v>
      </c>
    </row>
    <row r="14" spans="2:5" x14ac:dyDescent="0.45">
      <c r="B14" t="s">
        <v>333</v>
      </c>
      <c r="C14">
        <f>SUMPRODUCT((Model!$X$16:$X$26&gt;P_capB*Model!$M$16:$M$26+0.001)*1)</f>
        <v>0</v>
      </c>
      <c r="D14">
        <v>0</v>
      </c>
      <c r="E14" t="str">
        <f t="shared" si="0"/>
        <v>OK</v>
      </c>
    </row>
    <row r="15" spans="2:5" x14ac:dyDescent="0.45">
      <c r="B15" t="s">
        <v>334</v>
      </c>
      <c r="C15">
        <f>SUMPRODUCT((Model!$AI$16:$AI$26&gt;ABS(Model!$L$16:$L$26)+0.001)+(Model!$AH$16:$AH$26&lt;Model!$AG$16:$AG$26-0.001)+(Model!$AI$16:$AI$26&lt;Model!$AH$16:$AH$26-0.001))</f>
        <v>0</v>
      </c>
      <c r="D15">
        <v>0</v>
      </c>
      <c r="E15" t="str">
        <f t="shared" si="0"/>
        <v>OK</v>
      </c>
    </row>
    <row r="16" spans="2:5" x14ac:dyDescent="0.45">
      <c r="B16" t="s">
        <v>335</v>
      </c>
      <c r="C16">
        <f>SUMPRODUCT((Model!$R$16:$T$26&lt;0)+(Model!$R$16:$T$26&gt;1)+(Model!$T$16:$T$26&gt;Model!$R$16:$R$26))+SUMPRODUCT((Model!$AA$16:$AC$26&lt;0)+(Model!$AA$16:$AC$26&gt;1)+(Model!$AC$16:$AC$26&gt;Model!$AA$16:$AA$26))+SUMPRODUCT((Model!$AJ$16:$AL$26&lt;0)+(Model!$AJ$16:$AL$26&gt;1)+(Model!$AL$16:$AL$26&gt;Model!$AJ$16:$AJ$26))</f>
        <v>0</v>
      </c>
      <c r="D16">
        <v>0</v>
      </c>
      <c r="E16" t="str">
        <f t="shared" si="0"/>
        <v>OK</v>
      </c>
    </row>
    <row r="17" spans="2:5" x14ac:dyDescent="0.45">
      <c r="B17" t="s">
        <v>336</v>
      </c>
      <c r="C17">
        <f>INDEX(Cases!$C$8:$C$10,ScenarioSel)+INDEX(Cases!$V$8:$V$10,ScenarioSel)</f>
        <v>70161577.093653381</v>
      </c>
      <c r="D17">
        <f>oA_Y1+oC_Cum</f>
        <v>70161577.093653381</v>
      </c>
      <c r="E17" t="str">
        <f t="shared" si="0"/>
        <v>OK</v>
      </c>
    </row>
    <row r="18" spans="2:5" x14ac:dyDescent="0.45">
      <c r="B18" t="s">
        <v>337</v>
      </c>
      <c r="C18">
        <f>W_BEAR+W_BASE+W_BULL</f>
        <v>1</v>
      </c>
      <c r="D18">
        <v>1</v>
      </c>
      <c r="E18" t="str">
        <f t="shared" si="0"/>
        <v>OK</v>
      </c>
    </row>
    <row r="19" spans="2:5" x14ac:dyDescent="0.45">
      <c r="B19" t="s">
        <v>338</v>
      </c>
      <c r="C19">
        <f>TwoCentre</f>
        <v>67802209.489511192</v>
      </c>
      <c r="D19">
        <f>BaseC_Cum</f>
        <v>67802209.489511192</v>
      </c>
      <c r="E19" t="str">
        <f>IF(SetsOn,"n/a",IF(ABS(C19-D19)&lt;=MAX(0.5,ABS(D19)*0.000000001),"OK","FAIL"))</f>
        <v>OK</v>
      </c>
    </row>
    <row r="20" spans="2:5" x14ac:dyDescent="0.45">
      <c r="B20" t="s">
        <v>339</v>
      </c>
      <c r="C20">
        <f>TwoCentreCB</f>
        <v>43523620.227796838</v>
      </c>
      <c r="D20">
        <f>BaseCminusB</f>
        <v>43523620.227796838</v>
      </c>
      <c r="E20" t="str">
        <f>IF(SetsOn,"n/a",IF(ABS(C20-D20)&lt;=MAX(0.5,ABS(D20)*0.000000001),"OK","FAIL"))</f>
        <v>OK</v>
      </c>
    </row>
    <row r="21" spans="2:5" x14ac:dyDescent="0.45">
      <c r="B21" t="s">
        <v>340</v>
      </c>
      <c r="C21">
        <f>IF(AND(Top1Calc=Top1Key,Top2Calc=Top2Key),1,0)</f>
        <v>1</v>
      </c>
      <c r="D21">
        <v>1</v>
      </c>
      <c r="E21" t="str">
        <f>IF(ABS(C21-D21)&lt;=MAX(0.5,ABS(D21)*0.000000001),"OK","FAIL")</f>
        <v>OK</v>
      </c>
    </row>
    <row r="22" spans="2:5" x14ac:dyDescent="0.45">
      <c r="B22" t="s">
        <v>341</v>
      </c>
      <c r="C22">
        <f>BestCap</f>
        <v>0.1</v>
      </c>
      <c r="D22">
        <f>Inputs!D40</f>
        <v>0.1</v>
      </c>
      <c r="E22" t="str">
        <f>IF(ABS(C22-D22)&lt;=MAX(0.5,ABS(D22)*0.000000001),"OK","FAIL")</f>
        <v>OK</v>
      </c>
    </row>
    <row r="23" spans="2:5" x14ac:dyDescent="0.45">
      <c r="B23" t="s">
        <v>342</v>
      </c>
      <c r="C23">
        <f>INDEX(Sensitivity!$C$46:$C$76,MATCH(Inputs!D36,Sensitivity!$B$46:$B$76,0))</f>
        <v>43523620.227796838</v>
      </c>
      <c r="D23">
        <f>BaseCminusB</f>
        <v>43523620.227796838</v>
      </c>
      <c r="E23" t="str">
        <f>IF(SetsOn,"n/a",IF(ABS(C23-D23)&lt;=MAX(0.5,ABS(D23)*0.000000001),"OK","FAIL"))</f>
        <v>OK</v>
      </c>
    </row>
    <row r="24" spans="2:5" x14ac:dyDescent="0.45">
      <c r="B24" t="s">
        <v>343</v>
      </c>
      <c r="C24">
        <f>COUNTA(CaseSel,TornPick,TornSide,S2Down,S2Across,KCurve,CapCurve)</f>
        <v>0</v>
      </c>
      <c r="D24">
        <v>0</v>
      </c>
      <c r="E24" t="str">
        <f>IF(ABS(C24-D24)&lt;=MAX(0.5,ABS(D24)*0.000000001),"OK","FAIL")</f>
        <v>OK</v>
      </c>
    </row>
    <row r="26" spans="2:5" x14ac:dyDescent="0.45">
      <c r="B26" t="s">
        <v>323</v>
      </c>
      <c r="C26" t="str">
        <f>IF(COUNTIF(E5:E24,"OK")=20,"All 20 checks OK",IF(COUNTIF(E5:E24,"FAIL")=0,"No check fails ("&amp;COUNTIF(E5:E24,"n/a")&amp;" not applicable while a Set value is typed)",COUNTIF(E5:E24,"FAIL")&amp;" of 20 checks FAIL"))</f>
        <v>All 20 checks OK</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191</vt:i4>
      </vt:variant>
    </vt:vector>
  </HeadingPairs>
  <TitlesOfParts>
    <vt:vector size="199" baseType="lpstr">
      <vt:lpstr>Cover</vt:lpstr>
      <vt:lpstr>Inputs</vt:lpstr>
      <vt:lpstr>PriceBook</vt:lpstr>
      <vt:lpstr>Model</vt:lpstr>
      <vt:lpstr>Cases</vt:lpstr>
      <vt:lpstr>Sensitivity</vt:lpstr>
      <vt:lpstr>Lookback</vt:lpstr>
      <vt:lpstr>Checks</vt:lpstr>
      <vt:lpstr>BaseA_Cum</vt:lpstr>
      <vt:lpstr>BaseA_Lost</vt:lpstr>
      <vt:lpstr>BaseA_Nrr</vt:lpstr>
      <vt:lpstr>BaseA_Risk</vt:lpstr>
      <vt:lpstr>BaseA_Up</vt:lpstr>
      <vt:lpstr>BaseA_Y1</vt:lpstr>
      <vt:lpstr>BaseA_Y2</vt:lpstr>
      <vt:lpstr>BaseA_Y3</vt:lpstr>
      <vt:lpstr>BaseB_Cum</vt:lpstr>
      <vt:lpstr>BaseB_Lost</vt:lpstr>
      <vt:lpstr>BaseB_Nrr</vt:lpstr>
      <vt:lpstr>BaseB_Risk</vt:lpstr>
      <vt:lpstr>BaseB_Up</vt:lpstr>
      <vt:lpstr>BaseB_Y1</vt:lpstr>
      <vt:lpstr>BaseB_Y2</vt:lpstr>
      <vt:lpstr>BaseB_Y3</vt:lpstr>
      <vt:lpstr>BaseC_Cum</vt:lpstr>
      <vt:lpstr>BaseC_Lost</vt:lpstr>
      <vt:lpstr>BaseC_Nrr</vt:lpstr>
      <vt:lpstr>BaseC_Risk</vt:lpstr>
      <vt:lpstr>BaseC_Up</vt:lpstr>
      <vt:lpstr>BaseC_Y1</vt:lpstr>
      <vt:lpstr>BaseC_Y2</vt:lpstr>
      <vt:lpstr>BaseC_Y3</vt:lpstr>
      <vt:lpstr>BaseCminusA</vt:lpstr>
      <vt:lpstr>BaseCminusB</vt:lpstr>
      <vt:lpstr>BaseRunRate</vt:lpstr>
      <vt:lpstr>BearA_Cum</vt:lpstr>
      <vt:lpstr>BearA_Lost</vt:lpstr>
      <vt:lpstr>BearA_Nrr</vt:lpstr>
      <vt:lpstr>BearA_Risk</vt:lpstr>
      <vt:lpstr>BearA_Up</vt:lpstr>
      <vt:lpstr>BearA_Y1</vt:lpstr>
      <vt:lpstr>BearA_Y2</vt:lpstr>
      <vt:lpstr>BearA_Y3</vt:lpstr>
      <vt:lpstr>BearB_Cum</vt:lpstr>
      <vt:lpstr>BearB_Lost</vt:lpstr>
      <vt:lpstr>BearB_Nrr</vt:lpstr>
      <vt:lpstr>BearB_Risk</vt:lpstr>
      <vt:lpstr>BearB_Up</vt:lpstr>
      <vt:lpstr>BearB_Y1</vt:lpstr>
      <vt:lpstr>BearB_Y2</vt:lpstr>
      <vt:lpstr>BearB_Y3</vt:lpstr>
      <vt:lpstr>BearC_Cum</vt:lpstr>
      <vt:lpstr>BearC_Lost</vt:lpstr>
      <vt:lpstr>BearC_Nrr</vt:lpstr>
      <vt:lpstr>BearC_Risk</vt:lpstr>
      <vt:lpstr>BearC_Up</vt:lpstr>
      <vt:lpstr>BearC_Y1</vt:lpstr>
      <vt:lpstr>BearC_Y2</vt:lpstr>
      <vt:lpstr>BearC_Y3</vt:lpstr>
      <vt:lpstr>BearCminusA</vt:lpstr>
      <vt:lpstr>BearCminusB</vt:lpstr>
      <vt:lpstr>BestCap</vt:lpstr>
      <vt:lpstr>BestCapCum</vt:lpstr>
      <vt:lpstr>BullA_Cum</vt:lpstr>
      <vt:lpstr>BullA_Lost</vt:lpstr>
      <vt:lpstr>BullA_Nrr</vt:lpstr>
      <vt:lpstr>BullA_Risk</vt:lpstr>
      <vt:lpstr>BullA_Up</vt:lpstr>
      <vt:lpstr>BullA_Y1</vt:lpstr>
      <vt:lpstr>BullA_Y2</vt:lpstr>
      <vt:lpstr>BullA_Y3</vt:lpstr>
      <vt:lpstr>BullB_Cum</vt:lpstr>
      <vt:lpstr>BullB_Lost</vt:lpstr>
      <vt:lpstr>BullB_Nrr</vt:lpstr>
      <vt:lpstr>BullB_Risk</vt:lpstr>
      <vt:lpstr>BullB_Up</vt:lpstr>
      <vt:lpstr>BullB_Y1</vt:lpstr>
      <vt:lpstr>BullB_Y2</vt:lpstr>
      <vt:lpstr>BullB_Y3</vt:lpstr>
      <vt:lpstr>BullC_Cum</vt:lpstr>
      <vt:lpstr>BullC_Lost</vt:lpstr>
      <vt:lpstr>BullC_Nrr</vt:lpstr>
      <vt:lpstr>BullC_Risk</vt:lpstr>
      <vt:lpstr>BullC_Up</vt:lpstr>
      <vt:lpstr>BullC_Y1</vt:lpstr>
      <vt:lpstr>BullC_Y2</vt:lpstr>
      <vt:lpstr>BullC_Y3</vt:lpstr>
      <vt:lpstr>BullCminusA</vt:lpstr>
      <vt:lpstr>BullCminusB</vt:lpstr>
      <vt:lpstr>CapAt0</vt:lpstr>
      <vt:lpstr>CapAt5</vt:lpstr>
      <vt:lpstr>CapCurve</vt:lpstr>
      <vt:lpstr>CaseSel</vt:lpstr>
      <vt:lpstr>CheckStatus</vt:lpstr>
      <vt:lpstr>D_belowScale</vt:lpstr>
      <vt:lpstr>D_capC</vt:lpstr>
      <vt:lpstr>D_k</vt:lpstr>
      <vt:lpstr>D_otherRev</vt:lpstr>
      <vt:lpstr>D_r</vt:lpstr>
      <vt:lpstr>D_rho</vt:lpstr>
      <vt:lpstr>D_tau</vt:lpstr>
      <vt:lpstr>D_upScale</vt:lpstr>
      <vt:lpstr>D_v</vt:lpstr>
      <vt:lpstr>EvA_Cum</vt:lpstr>
      <vt:lpstr>EvA_Lost</vt:lpstr>
      <vt:lpstr>EvA_Nrr</vt:lpstr>
      <vt:lpstr>EvA_Risk</vt:lpstr>
      <vt:lpstr>EvA_Up</vt:lpstr>
      <vt:lpstr>EvA_Y1</vt:lpstr>
      <vt:lpstr>EvA_Y2</vt:lpstr>
      <vt:lpstr>EvA_Y3</vt:lpstr>
      <vt:lpstr>EvB_Cum</vt:lpstr>
      <vt:lpstr>EvB_Lost</vt:lpstr>
      <vt:lpstr>EvB_Nrr</vt:lpstr>
      <vt:lpstr>EvB_Risk</vt:lpstr>
      <vt:lpstr>EvB_Up</vt:lpstr>
      <vt:lpstr>EvB_Y1</vt:lpstr>
      <vt:lpstr>EvB_Y2</vt:lpstr>
      <vt:lpstr>EvB_Y3</vt:lpstr>
      <vt:lpstr>EvC_Cum</vt:lpstr>
      <vt:lpstr>EvC_Lost</vt:lpstr>
      <vt:lpstr>EvC_Nrr</vt:lpstr>
      <vt:lpstr>EvC_Risk</vt:lpstr>
      <vt:lpstr>EvC_Up</vt:lpstr>
      <vt:lpstr>EvC_Y1</vt:lpstr>
      <vt:lpstr>EvC_Y2</vt:lpstr>
      <vt:lpstr>EvC_Y3</vt:lpstr>
      <vt:lpstr>F_asrpc</vt:lpstr>
      <vt:lpstr>F_cust</vt:lpstr>
      <vt:lpstr>F_nrr</vt:lpstr>
      <vt:lpstr>F_subrev</vt:lpstr>
      <vt:lpstr>GrossRisk</vt:lpstr>
      <vt:lpstr>GrossUp</vt:lpstr>
      <vt:lpstr>KCurve</vt:lpstr>
      <vt:lpstr>KStar</vt:lpstr>
      <vt:lpstr>NOther</vt:lpstr>
      <vt:lpstr>NSeg</vt:lpstr>
      <vt:lpstr>oA_Cum</vt:lpstr>
      <vt:lpstr>oA_Lost</vt:lpstr>
      <vt:lpstr>oA_Nrr</vt:lpstr>
      <vt:lpstr>oA_Risk</vt:lpstr>
      <vt:lpstr>oA_Up</vt:lpstr>
      <vt:lpstr>oA_Y1</vt:lpstr>
      <vt:lpstr>oA_Y2</vt:lpstr>
      <vt:lpstr>oA_Y3</vt:lpstr>
      <vt:lpstr>oB_Cum</vt:lpstr>
      <vt:lpstr>oB_Lost</vt:lpstr>
      <vt:lpstr>oB_Nrr</vt:lpstr>
      <vt:lpstr>oB_Risk</vt:lpstr>
      <vt:lpstr>oB_Up</vt:lpstr>
      <vt:lpstr>oB_Y1</vt:lpstr>
      <vt:lpstr>oB_Y2</vt:lpstr>
      <vt:lpstr>oB_Y3</vt:lpstr>
      <vt:lpstr>oC_Cum</vt:lpstr>
      <vt:lpstr>oC_Lost</vt:lpstr>
      <vt:lpstr>oC_Nrr</vt:lpstr>
      <vt:lpstr>oC_Risk</vt:lpstr>
      <vt:lpstr>oC_Up</vt:lpstr>
      <vt:lpstr>oC_Y1</vt:lpstr>
      <vt:lpstr>oC_Y2</vt:lpstr>
      <vt:lpstr>oC_Y3</vt:lpstr>
      <vt:lpstr>P_capB</vt:lpstr>
      <vt:lpstr>P_me_add</vt:lpstr>
      <vt:lpstr>P_me_base</vt:lpstr>
      <vt:lpstr>P_me_inc</vt:lpstr>
      <vt:lpstr>P_mp_add</vt:lpstr>
      <vt:lpstr>P_mp_base</vt:lpstr>
      <vt:lpstr>P_mp_inc</vt:lpstr>
      <vt:lpstr>P_se_add</vt:lpstr>
      <vt:lpstr>P_se_base</vt:lpstr>
      <vt:lpstr>P_se_inc</vt:lpstr>
      <vt:lpstr>P_se_seat</vt:lpstr>
      <vt:lpstr>P_sp_add</vt:lpstr>
      <vt:lpstr>P_sp_base</vt:lpstr>
      <vt:lpstr>P_sp_inc</vt:lpstr>
      <vt:lpstr>P_sp_seat</vt:lpstr>
      <vt:lpstr>Plug</vt:lpstr>
      <vt:lpstr>S2Across</vt:lpstr>
      <vt:lpstr>S2Down</vt:lpstr>
      <vt:lpstr>ScenarioSel</vt:lpstr>
      <vt:lpstr>ScenEff</vt:lpstr>
      <vt:lpstr>SeatRev</vt:lpstr>
      <vt:lpstr>SegShare</vt:lpstr>
      <vt:lpstr>SensOn</vt:lpstr>
      <vt:lpstr>SetsOn</vt:lpstr>
      <vt:lpstr>Top1Calc</vt:lpstr>
      <vt:lpstr>Top1Key</vt:lpstr>
      <vt:lpstr>Top2Calc</vt:lpstr>
      <vt:lpstr>Top2Key</vt:lpstr>
      <vt:lpstr>TornPick</vt:lpstr>
      <vt:lpstr>TornSide</vt:lpstr>
      <vt:lpstr>Trigger</vt:lpstr>
      <vt:lpstr>TwoCentre</vt:lpstr>
      <vt:lpstr>TwoCentreCB</vt:lpstr>
      <vt:lpstr>TwoMinCB</vt:lpstr>
      <vt:lpstr>Uplift</vt:lpstr>
      <vt:lpstr>W_BASE</vt:lpstr>
      <vt:lpstr>W_BEAR</vt:lpstr>
      <vt:lpstr>W_BULL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2026-10-24T07:22:42Z</dcterms:created>
  <dcterms:modified xsi:type="dcterms:W3CDTF">2026-10-24T07:23:46Z</dcterms:modified>
</cp:coreProperties>
</file>